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LCFS\user\staff\OlynickD\Documents\"/>
    </mc:Choice>
  </mc:AlternateContent>
  <bookViews>
    <workbookView xWindow="120" yWindow="90" windowWidth="19440" windowHeight="11505" tabRatio="758" activeTab="1"/>
  </bookViews>
  <sheets>
    <sheet name="Introduction" sheetId="8" r:id="rId1"/>
    <sheet name="Sheet Stats" sheetId="1" r:id="rId2"/>
    <sheet name="Reductions" sheetId="3" r:id="rId3"/>
    <sheet name="Mana-LoH" sheetId="5" r:id="rId4"/>
    <sheet name="Mit-Sustain" sheetId="7" r:id="rId5"/>
    <sheet name="eDPS" sheetId="4" r:id="rId6"/>
    <sheet name="Breakpoints" sheetId="2" r:id="rId7"/>
    <sheet name="Skill Info" sheetId="6" r:id="rId8"/>
  </sheets>
  <definedNames>
    <definedName name="AddCC">eDPS!$D$4</definedName>
    <definedName name="APS">eDPS!$B$5</definedName>
    <definedName name="bBuffBastionsGenerator">eDPS!$F$12</definedName>
    <definedName name="bBuffBastionsSpender">eDPS!$F$13</definedName>
    <definedName name="bBuffBBVSlamDance">eDPS!$M$2</definedName>
    <definedName name="bBuffCrusLoVCritical">eDPS!$U$3</definedName>
    <definedName name="bBuffCrusResolved">eDPS!$U$2</definedName>
    <definedName name="bBuffCrusSGDivine">eDPS!$U$4</definedName>
    <definedName name="bBuffDHCompanionWolf">eDPS!$U$9</definedName>
    <definedName name="bBuffDHMFD">eDPS!$U$10</definedName>
    <definedName name="bBuffGemBoP">eDPS!$M$6</definedName>
    <definedName name="bBuffGemBoT">eDPS!$Q$2</definedName>
    <definedName name="bBuffGemEnforcer">eDPS!$Q$4</definedName>
    <definedName name="bBuffGemTaeguk">eDPS!$M$7</definedName>
    <definedName name="bBuffGemToxin">eDPS!$Q$3</definedName>
    <definedName name="bBuffGemZei">eDPS!$Q$5</definedName>
    <definedName name="bBuffHauntPoisoned">eDPS!$Q$8</definedName>
    <definedName name="bBuffIASBBV">eDPS!$M$10</definedName>
    <definedName name="bBuffIASBBVGroup">eDPS!$U$16</definedName>
    <definedName name="bBuffIASGemGogok">eDPS!$M$11</definedName>
    <definedName name="bBuffIASGemPE">eDPS!$M$12</definedName>
    <definedName name="bBuffJade2p">eDPS!$F$10</definedName>
    <definedName name="bBuffMonkEPTFiW">eDPS!$U$12</definedName>
    <definedName name="bBuffMonkISFB">eDPS!$U$11</definedName>
    <definedName name="bBuffMonkMoC">eDPS!$U$13</definedName>
    <definedName name="bBuffMonkMoCOverawe">eDPS!$U$14</definedName>
    <definedName name="bBuffMonkMoRTransgression">eDPS!$U$15</definedName>
    <definedName name="bBuffOtherAdd">eDPS!$M$8</definedName>
    <definedName name="bBuffOtherAddGroup">eDPS!$U$17</definedName>
    <definedName name="bBuffOtherAddNS">eDPS!$Q$10</definedName>
    <definedName name="bBuffOtherIAS">eDPS!$M$13</definedName>
    <definedName name="bBuffOtherMulti">eDPS!$Q$11</definedName>
    <definedName name="bBuffOtherMultiGroup">eDPS!$U$18</definedName>
    <definedName name="bBuffPiranhas">eDPS!$M$4</definedName>
    <definedName name="bBuffPtV">eDPS!$M$3</definedName>
    <definedName name="bBuffSacrificePtP">eDPS!$M$5</definedName>
    <definedName name="bBuffStrongarms">eDPS!$Q$7</definedName>
    <definedName name="bBuffWizCB">eDPS!$U$6</definedName>
    <definedName name="bBuffWizConflagration">eDPS!$U$8</definedName>
    <definedName name="bBuffWizEE">eDPS!$U$5</definedName>
    <definedName name="bBuffWizSTtimeWarp">eDPS!$U$7</definedName>
    <definedName name="bBuffZDChilled">eDPS!$Q$9</definedName>
    <definedName name="bBuffZuni6p">eDPS!$F$11</definedName>
    <definedName name="BonusCold">eDPS!$D$9</definedName>
    <definedName name="BonusFire">eDPS!$D$10</definedName>
    <definedName name="BonusPhyscial">eDPS!$D$11</definedName>
    <definedName name="BonusPoison">eDPS!$D$12</definedName>
    <definedName name="BuffAdd">eDPS!$D$2</definedName>
    <definedName name="BuffBBVSlamDance">'Skill Info'!$O$14</definedName>
    <definedName name="BuffCC">eDPS!$D$5</definedName>
    <definedName name="BuffE">eDPS!$D$7</definedName>
    <definedName name="BuffGemBoP">eDPS!$L$6</definedName>
    <definedName name="BuffGemBoT">eDPS!$P$2</definedName>
    <definedName name="BuffGemEnforcer">eDPS!$P$4</definedName>
    <definedName name="BuffGemTaeguk">eDPS!$L$7</definedName>
    <definedName name="BuffGemToxin">eDPS!$P$3</definedName>
    <definedName name="BuffGemZei">eDPS!$Q$6</definedName>
    <definedName name="BuffMidnightFeast">'Skill Info'!$O$183</definedName>
    <definedName name="BuffMulti">eDPS!$D$3</definedName>
    <definedName name="BuffOtherAdd">eDPS!$L$8</definedName>
    <definedName name="BuffOtherAddGroup">eDPS!$T$17</definedName>
    <definedName name="BuffOtherAddNS">eDPS!$P$10</definedName>
    <definedName name="BuffOtherMulti">eDPS!$P$11</definedName>
    <definedName name="BuffOtherMultiGroup">eDPS!$T$18</definedName>
    <definedName name="BuffPtV">'Skill Info'!$O$173</definedName>
    <definedName name="BuffSacrificePtP">'Skill Info'!$O$121</definedName>
    <definedName name="BuffStrongarms">eDPS!$P$7</definedName>
    <definedName name="BuffTaskers">eDPS!$F$129</definedName>
    <definedName name="CDGraspDead">'Skill Info'!$F$53</definedName>
    <definedName name="CDGraspDeadDesperate">'Skill Info'!$F$57</definedName>
    <definedName name="CDR">eDPS!$B$8</definedName>
    <definedName name="CDRGI">Reductions!$C$23</definedName>
    <definedName name="CDRORotZ">Reductions!$C$24</definedName>
    <definedName name="CDSoulHarvest">'Skill Info'!$F$137</definedName>
    <definedName name="CDSW">'Skill Info'!$F$130</definedName>
    <definedName name="CDWoZ">'Skill Info'!$F$151</definedName>
    <definedName name="CDZDogs">'Skill Info'!$F$144</definedName>
    <definedName name="Cost2Firebats">'Skill Info'!$C$32</definedName>
    <definedName name="CostAcidCloud">'Skill Info'!$B$4</definedName>
    <definedName name="CostFirebats">'Skill Info'!$B$32</definedName>
    <definedName name="CostFirebatsVampire">'Skill Info'!$B$34</definedName>
    <definedName name="CostGraspDead">'Skill Info'!$B$53</definedName>
    <definedName name="CostHaunt">'Skill Info'!$B$60</definedName>
    <definedName name="CostLocustSwarm">'Skill Info'!$B$81</definedName>
    <definedName name="CostPiranhas">'Skill Info'!$B$95</definedName>
    <definedName name="CostSpiritBarrage">'Skill Info'!$B$123</definedName>
    <definedName name="CostZCharger">'Skill Info'!$B$158</definedName>
    <definedName name="CSAPS">'Sheet Stats'!$C$23</definedName>
    <definedName name="CSArmorBase">'Sheet Stats'!$C$10</definedName>
    <definedName name="CSArmorBonus">'Sheet Stats'!$C$11</definedName>
    <definedName name="CSArmorTotal">'Sheet Stats'!$C$29</definedName>
    <definedName name="CSBaseSpd">'Sheet Stats'!$C$21</definedName>
    <definedName name="CSCC">'Sheet Stats'!$C$18</definedName>
    <definedName name="CSCHD">'Sheet Stats'!$C$19</definedName>
    <definedName name="CSDEX">'Sheet Stats'!$C$6</definedName>
    <definedName name="CSDPS">'Sheet Stats'!$C$24</definedName>
    <definedName name="CSDR">'Sheet Stats'!$C$13</definedName>
    <definedName name="CSIAS">'Sheet Stats'!$C$22</definedName>
    <definedName name="CSINT">'Sheet Stats'!$C$7</definedName>
    <definedName name="CSResAll">'Sheet Stats'!$C$30</definedName>
    <definedName name="CSResAllBase">'Sheet Stats'!$C$12</definedName>
    <definedName name="CSSTR">'Sheet Stats'!$C$5</definedName>
    <definedName name="Dam2FirebombGhostBomb">'Skill Info'!$H$44</definedName>
    <definedName name="Dam2SpiritBarrageWellSouls">'Skill Info'!$H$125</definedName>
    <definedName name="Dam2ZDogsBurning">'Skill Info'!$H$148</definedName>
    <definedName name="Dam2ZDogsRabid">'Skill Info'!$H$145</definedName>
    <definedName name="DamAcidCloud">'Skill Info'!$G$4</definedName>
    <definedName name="DamAcidCloudCorpseBomb">'Skill Info'!$G$9</definedName>
    <definedName name="DamAcidCloudKoD">'Skill Info'!$G$8</definedName>
    <definedName name="DamCorpseSpiders">'Skill Info'!$G$18</definedName>
    <definedName name="DamCorpseSpidersBlazing">'Skill Info'!$G$23</definedName>
    <definedName name="DamCorpseSpidersLeaping">'Skill Info'!$G$19</definedName>
    <definedName name="DamFetishArmy">'Skill Info'!$G$25</definedName>
    <definedName name="DamFetishArmyHunters">'Skill Info'!$H$30</definedName>
    <definedName name="DamFetishArmyTorchers">'Skill Info'!$H$29</definedName>
    <definedName name="DamFetishSycophants">'Skill Info'!$G$174</definedName>
    <definedName name="DamFirebats">'Skill Info'!$G$32</definedName>
    <definedName name="DamFirebatsCoB">'Skill Info'!$G$37</definedName>
    <definedName name="DamFirebatsDire">'Skill Info'!$G$33</definedName>
    <definedName name="DamFirebatsHungry">'Skill Info'!$G$36</definedName>
    <definedName name="DamFirebatsVampire">'Skill Info'!$G$34</definedName>
    <definedName name="DamFirebomb">'Skill Info'!$G$39</definedName>
    <definedName name="DamGargantuan">'Skill Info'!$G$46</definedName>
    <definedName name="DamGargantuanBruiser">'Skill Info'!$G$51</definedName>
    <definedName name="DamGargantuanHumongoid">'Skill Info'!$G$47</definedName>
    <definedName name="DamGargantuanWrathful">'Skill Info'!$G$49</definedName>
    <definedName name="DamMH">eDPS!$B$9</definedName>
    <definedName name="DamPlagueToads">'Skill Info'!$G$102</definedName>
    <definedName name="DamPlagueToadsExplosive">'Skill Info'!$G$103</definedName>
    <definedName name="DamPlagueToadsPiercing">'Skill Info'!$G$104</definedName>
    <definedName name="DamPoisonDart">'Skill Info'!$G$109</definedName>
    <definedName name="DamPoisonDartSplinters">'Skill Info'!$G$110</definedName>
    <definedName name="DamSacrifice">'Skill Info'!$G$116</definedName>
    <definedName name="DamSoulHarvestVengeful">'Skill Info'!$G$142</definedName>
    <definedName name="DamSpiritBarrage">'Skill Info'!$G$123</definedName>
    <definedName name="DamSplash">eDPS!$I$7</definedName>
    <definedName name="DamSWUmbralShock">'Skill Info'!$G$133</definedName>
    <definedName name="DamWoZCreepers">'Skill Info'!$G$154</definedName>
    <definedName name="DamZCharger">'Skill Info'!$G$158</definedName>
    <definedName name="DamZChargerBears">'Skill Info'!$G$163</definedName>
    <definedName name="DamZChargerExplosiveBeast">'Skill Info'!$G$162</definedName>
    <definedName name="DamZChargerLumberingCold">'Skill Info'!$G$161</definedName>
    <definedName name="DamZChargerPileOn">'Skill Info'!$G$159</definedName>
    <definedName name="DamZDogs">'Skill Info'!$G$144</definedName>
    <definedName name="DebuffHauntPoisoned">'Skill Info'!$P$64</definedName>
    <definedName name="DebuffMCParanoia">'Skill Info'!$P$92</definedName>
    <definedName name="DebuffPiranhas">'Skill Info'!$P$95</definedName>
    <definedName name="DebuffZDChilled">'Skill Info'!$P$146</definedName>
    <definedName name="DoTAcidCloud">'Skill Info'!$J$4</definedName>
    <definedName name="DoTAcidCloudKoD">'Skill Info'!$J$8</definedName>
    <definedName name="DoTAcidCloudLBB">'Skill Info'!$J$6</definedName>
    <definedName name="DoTAcidCloudSlowBurn">'Skill Info'!$J$7</definedName>
    <definedName name="DoTCorpseSpidersQueen">'Skill Info'!$J$20</definedName>
    <definedName name="DoTDurAcidCloud">'Skill Info'!$K$4</definedName>
    <definedName name="DoTDurAcidCloudLBB">'Skill Info'!$K$6</definedName>
    <definedName name="DoTDurAcidCloudSlowBurn">'Skill Info'!$K$7</definedName>
    <definedName name="DoTDurCorpseSpidersQueen">'Skill Info'!$K$20</definedName>
    <definedName name="DoTDurFirebatsPlague">'Skill Info'!$K$35</definedName>
    <definedName name="DoTDurFirebombFirePit">'Skill Info'!$K$42</definedName>
    <definedName name="DoTDurFirebombPyrogeist">'Skill Info'!$K$43</definedName>
    <definedName name="DoTDurGraspDead">'Skill Info'!$K$53</definedName>
    <definedName name="DoTDurHaunt">'Skill Info'!$K$60</definedName>
    <definedName name="DoTDurLocustSwarm">'Skill Info'!$K$81</definedName>
    <definedName name="DoTDurLocustSwarmCloud">'Skill Info'!$K$84</definedName>
    <definedName name="DoTDurPlagueToadsRain">'Skill Info'!$K$105</definedName>
    <definedName name="DoTDurPoisonDart">'Skill Info'!$K$109</definedName>
    <definedName name="DoTDurPoisonDartFlaming">'Skill Info'!$K$113</definedName>
    <definedName name="DoTDurSpiritBarrageManitou">'Skill Info'!$K$128</definedName>
    <definedName name="DoTDurSpiritBarragePhantasm">'Skill Info'!$K$126</definedName>
    <definedName name="DoTDurWoZ">'Skill Info'!$K$151</definedName>
    <definedName name="DoTFirebatsPlague">'Skill Info'!$J$35</definedName>
    <definedName name="DoTFirebombFirePit">'Skill Info'!$J$42</definedName>
    <definedName name="DoTFirebombPyrogeist">'Skill Info'!$J$43</definedName>
    <definedName name="DoTGargantuanBigStinker">'Skill Info'!$J$50</definedName>
    <definedName name="DoTGraspDead">'Skill Info'!$J$53</definedName>
    <definedName name="DoTGraspDeadGropingEels">'Skill Info'!$J$55</definedName>
    <definedName name="DoTGraspDeadRainCorpses">'Skill Info'!$J$58</definedName>
    <definedName name="DoTHaunt">'Skill Info'!$J$60</definedName>
    <definedName name="DoTLocustSwarm">'Skill Info'!$J$81</definedName>
    <definedName name="DoTLocustSwarmCloud">'Skill Info'!$J$84</definedName>
    <definedName name="DoTLocustSwarmSearing">'Skill Info'!$J$86</definedName>
    <definedName name="DoTPlagueToadsRain">'Skill Info'!$J$105</definedName>
    <definedName name="DoTPoisonDart">'Skill Info'!$J$109</definedName>
    <definedName name="DoTPoisonDartFlaming">'Skill Info'!$J$113</definedName>
    <definedName name="DoTSpiritBarrageManitou">'Skill Info'!$J$128</definedName>
    <definedName name="DoTSpiritBarragePhantasm">'Skill Info'!$J$126</definedName>
    <definedName name="DoTWoZ">'Skill Info'!$J$151</definedName>
    <definedName name="ProcAcidCloud">'Skill Info'!$D$4</definedName>
    <definedName name="ProcAcidCloudAcidRain">'Skill Info'!$D$5</definedName>
    <definedName name="ProcAcidCloudCorpseBomb">'Skill Info'!$D$9</definedName>
    <definedName name="ProcCorpseSpiders">'Skill Info'!$D$18</definedName>
    <definedName name="ProcCorpseSpidersQueen">'Skill Info'!$D$20</definedName>
    <definedName name="ProcFirebats">'Skill Info'!$D$32</definedName>
    <definedName name="ProcFirebatsCoB">'Skill Info'!$D$37</definedName>
    <definedName name="ProcFirebatsDire">'Skill Info'!$D$33</definedName>
    <definedName name="ProcFirebatsHungry">'Skill Info'!$D$36</definedName>
    <definedName name="ProcFirebomb">'Skill Info'!$D$39</definedName>
    <definedName name="ProcFirebombFirePit">'Skill Info'!$D$42</definedName>
    <definedName name="ProcFirebombFlashFire">'Skill Info'!$D$40</definedName>
    <definedName name="ProcFirebombGhostBomb">'Skill Info'!$D$44</definedName>
    <definedName name="ProcFirebombPyrogeist">'Skill Info'!$D$43</definedName>
    <definedName name="ProcFirebombRollBones">'Skill Info'!$D$41</definedName>
    <definedName name="ProcGraspDead">'Skill Info'!$D$53</definedName>
    <definedName name="ProcGraspDeadRainCorpses">'Skill Info'!$D$58</definedName>
    <definedName name="ProcHaunt">'Skill Info'!$D$60</definedName>
    <definedName name="ProcHauntConsuming">'Skill Info'!$D$61</definedName>
    <definedName name="ProcLocustSwarm">'Skill Info'!$D$81</definedName>
    <definedName name="ProcPlagueToads">'Skill Info'!$D$102</definedName>
    <definedName name="ProcPlagueToadsPiercing">'Skill Info'!$D$104</definedName>
    <definedName name="ProcPlagueToadsRain">'Skill Info'!$D$105</definedName>
    <definedName name="ProcPoisonDart">'Skill Info'!$D$109</definedName>
    <definedName name="ProcPoisonDartFlaming">'Skill Info'!$D$113</definedName>
    <definedName name="ProcPoisonDartSplinters">'Skill Info'!$D$110</definedName>
    <definedName name="ProcSoulHarvestVengeful">'Skill Info'!$D$142</definedName>
    <definedName name="ProcSpiritBarrage">'Skill Info'!$D$123</definedName>
    <definedName name="ProcSpiritBarrageManitou">'Skill Info'!$D$128</definedName>
    <definedName name="ProcSpiritBarrageWellSouls">'Skill Info'!$D$125</definedName>
    <definedName name="ProcSWSeverance">'Skill Info'!$D$134</definedName>
    <definedName name="ProcSWUmbralShock">'Skill Info'!$D$133</definedName>
    <definedName name="ProcWoZ">'Skill Info'!$D$151</definedName>
    <definedName name="ProcWoZBarricade">'Skill Info'!$D$152</definedName>
    <definedName name="ProcWoZCreepers">'Skill Info'!$D$154</definedName>
    <definedName name="ProcWoZOffensiveLine">'Skill Info'!$D$156</definedName>
    <definedName name="ProcWoZUnrelenting">'Skill Info'!$D$153</definedName>
    <definedName name="ProcWoZWreckingCrew">'Skill Info'!$D$155</definedName>
    <definedName name="ProcZCharger">'Skill Info'!$D$158</definedName>
    <definedName name="ProcZChargerBears">'Skill Info'!$D$163</definedName>
    <definedName name="ProcZChargerLumberingCold">'Skill Info'!$D$161</definedName>
    <definedName name="RCRFire">Reductions!$M$23</definedName>
    <definedName name="RedCDR">Reductions!$E$21</definedName>
    <definedName name="RedRCR">Reductions!$L$21</definedName>
    <definedName name="TCoefFirebats">'Skill Info'!$M$32</definedName>
    <definedName name="TRateAcidCloud">'Skill Info'!$L$4</definedName>
    <definedName name="TRateCorpseSpiders">'Skill Info'!$L$18</definedName>
    <definedName name="TRateCorpseSpidersQueen">'Skill Info'!$L$20</definedName>
    <definedName name="TRateFirebombFirePit">'Skill Info'!$L$42</definedName>
    <definedName name="TRateFirebombPyrogeist">'Skill Info'!$L$43</definedName>
    <definedName name="TRateGraspDead">'Skill Info'!$L$53</definedName>
    <definedName name="TRateHaunt">'Skill Info'!$L$60</definedName>
    <definedName name="TRateLocustSwarm">'Skill Info'!$L$81</definedName>
    <definedName name="TRatePlagueToadsRain">'Skill Info'!$L$105</definedName>
    <definedName name="TRateSpiritBarrageManitou">'Skill Info'!$L$128</definedName>
    <definedName name="TRateSpiritBarragePhantasm">'Skill Info'!$L$126</definedName>
    <definedName name="TRateWoZ">'Skill Info'!$L$151</definedName>
  </definedNames>
  <calcPr calcId="152511"/>
</workbook>
</file>

<file path=xl/calcChain.xml><?xml version="1.0" encoding="utf-8"?>
<calcChain xmlns="http://schemas.openxmlformats.org/spreadsheetml/2006/main">
  <c r="Q6" i="4" l="1"/>
  <c r="B32" i="1" l="1"/>
  <c r="B10" i="1" l="1"/>
  <c r="C10" i="1" s="1"/>
  <c r="C29" i="1" s="1"/>
  <c r="C4" i="1"/>
  <c r="D4" i="1" s="1"/>
  <c r="E4" i="1" s="1"/>
  <c r="C5" i="1"/>
  <c r="D5" i="1" s="1"/>
  <c r="E5" i="1" s="1"/>
  <c r="C6" i="1"/>
  <c r="C35" i="1" s="1"/>
  <c r="C7" i="1"/>
  <c r="D7" i="1"/>
  <c r="E7" i="1"/>
  <c r="C8" i="1"/>
  <c r="D8" i="1" s="1"/>
  <c r="E8" i="1" s="1"/>
  <c r="C9" i="1"/>
  <c r="D9" i="1" s="1"/>
  <c r="E9" i="1" s="1"/>
  <c r="C11" i="1"/>
  <c r="D11" i="1" s="1"/>
  <c r="E11" i="1" s="1"/>
  <c r="B12" i="1"/>
  <c r="C12" i="1" s="1"/>
  <c r="C13" i="1"/>
  <c r="D13" i="1"/>
  <c r="E13" i="1"/>
  <c r="C14" i="1"/>
  <c r="D14" i="1"/>
  <c r="E14" i="1"/>
  <c r="C15" i="1"/>
  <c r="D15" i="1"/>
  <c r="E15" i="1"/>
  <c r="C16" i="1"/>
  <c r="D16" i="1" s="1"/>
  <c r="E16" i="1"/>
  <c r="C17" i="1"/>
  <c r="D17" i="1"/>
  <c r="E17" i="1"/>
  <c r="C18" i="1"/>
  <c r="D18" i="1"/>
  <c r="E18" i="1"/>
  <c r="C19" i="1"/>
  <c r="D19" i="1"/>
  <c r="E19" i="1" s="1"/>
  <c r="C20" i="1"/>
  <c r="D20" i="1" s="1"/>
  <c r="E20" i="1"/>
  <c r="C21" i="1"/>
  <c r="D21" i="1"/>
  <c r="E21" i="1"/>
  <c r="C22" i="1"/>
  <c r="C23" i="1" s="1"/>
  <c r="D23" i="1" s="1"/>
  <c r="D22" i="1"/>
  <c r="E22" i="1"/>
  <c r="B23" i="1"/>
  <c r="B25" i="1" s="1"/>
  <c r="B33" i="1"/>
  <c r="B34" i="1"/>
  <c r="B35" i="1"/>
  <c r="J16" i="1" l="1"/>
  <c r="D35" i="1"/>
  <c r="E35" i="1" s="1"/>
  <c r="C3" i="7"/>
  <c r="C33" i="1"/>
  <c r="D33" i="1" s="1"/>
  <c r="E33" i="1" s="1"/>
  <c r="E10" i="1"/>
  <c r="D29" i="1"/>
  <c r="E29" i="1" s="1"/>
  <c r="C30" i="1"/>
  <c r="D30" i="1" s="1"/>
  <c r="E30" i="1" s="1"/>
  <c r="D12" i="1"/>
  <c r="E12" i="1" s="1"/>
  <c r="D6" i="1"/>
  <c r="E6" i="1" s="1"/>
  <c r="B36" i="1"/>
  <c r="E23" i="1"/>
  <c r="C7" i="7"/>
  <c r="E7" i="7" s="1"/>
  <c r="C8" i="7"/>
  <c r="E8" i="7" s="1"/>
  <c r="C9" i="7"/>
  <c r="E9" i="7" s="1"/>
  <c r="C6" i="7"/>
  <c r="E6" i="7" s="1"/>
  <c r="C5" i="7"/>
  <c r="E5" i="7" s="1"/>
  <c r="K36" i="1" l="1"/>
  <c r="J17" i="1"/>
  <c r="C32" i="1"/>
  <c r="J13" i="1"/>
  <c r="K37" i="1"/>
  <c r="K35" i="1"/>
  <c r="J14" i="1"/>
  <c r="K41" i="1"/>
  <c r="J15" i="1"/>
  <c r="N80" i="1"/>
  <c r="M80" i="1"/>
  <c r="L80" i="1"/>
  <c r="I80" i="1"/>
  <c r="H80" i="1"/>
  <c r="G80" i="1"/>
  <c r="F80" i="1"/>
  <c r="E80" i="1"/>
  <c r="D80" i="1"/>
  <c r="K80" i="1" s="1"/>
  <c r="C80" i="1"/>
  <c r="B80" i="1"/>
  <c r="D32" i="1" l="1"/>
  <c r="E32" i="1" s="1"/>
  <c r="C34" i="1"/>
  <c r="J80" i="1"/>
  <c r="D2" i="4"/>
  <c r="D34" i="1" l="1"/>
  <c r="E34" i="1" s="1"/>
  <c r="C36" i="1"/>
  <c r="D36" i="1" s="1"/>
  <c r="E36" i="1" s="1"/>
  <c r="J143" i="4"/>
  <c r="J149" i="4" l="1"/>
  <c r="J141" i="4" l="1"/>
  <c r="J139" i="4"/>
  <c r="J132" i="4"/>
  <c r="D6" i="4"/>
  <c r="D3" i="4" l="1"/>
  <c r="D4" i="4" l="1"/>
  <c r="H58" i="1" l="1"/>
  <c r="G58" i="1"/>
  <c r="D58" i="1"/>
  <c r="D59" i="1"/>
  <c r="C58" i="1"/>
  <c r="E58" i="1" s="1"/>
  <c r="F58" i="1" s="1"/>
  <c r="P52" i="1"/>
  <c r="O52" i="1"/>
  <c r="P51" i="1"/>
  <c r="O51" i="1"/>
  <c r="P50" i="1"/>
  <c r="O50" i="1"/>
  <c r="H59" i="1"/>
  <c r="G59" i="1"/>
  <c r="I59" i="1" s="1"/>
  <c r="J59" i="1" s="1"/>
  <c r="C59" i="1"/>
  <c r="I58" i="1"/>
  <c r="J58" i="1" s="1"/>
  <c r="H57" i="1"/>
  <c r="G57" i="1"/>
  <c r="D57" i="1"/>
  <c r="C57" i="1"/>
  <c r="H56" i="1"/>
  <c r="G56" i="1"/>
  <c r="D56" i="1"/>
  <c r="C56" i="1"/>
  <c r="I55" i="1"/>
  <c r="J55" i="1" s="1"/>
  <c r="H55" i="1"/>
  <c r="G55" i="1"/>
  <c r="D55" i="1"/>
  <c r="C55" i="1"/>
  <c r="H54" i="1"/>
  <c r="G54" i="1"/>
  <c r="I54" i="1" s="1"/>
  <c r="J54" i="1" s="1"/>
  <c r="D54" i="1"/>
  <c r="C54" i="1"/>
  <c r="E54" i="1" s="1"/>
  <c r="F54" i="1" s="1"/>
  <c r="H53" i="1"/>
  <c r="G53" i="1"/>
  <c r="I53" i="1" s="1"/>
  <c r="J53" i="1" s="1"/>
  <c r="D53" i="1"/>
  <c r="C53" i="1"/>
  <c r="E53" i="1" s="1"/>
  <c r="F53" i="1" s="1"/>
  <c r="H52" i="1"/>
  <c r="G52" i="1"/>
  <c r="I52" i="1" s="1"/>
  <c r="J52" i="1" s="1"/>
  <c r="D52" i="1"/>
  <c r="C52" i="1"/>
  <c r="H51" i="1"/>
  <c r="G51" i="1"/>
  <c r="D51" i="1"/>
  <c r="C51" i="1"/>
  <c r="H50" i="1"/>
  <c r="G50" i="1"/>
  <c r="I50" i="1" s="1"/>
  <c r="J50" i="1" s="1"/>
  <c r="D50" i="1"/>
  <c r="C50" i="1"/>
  <c r="C40" i="1"/>
  <c r="L5" i="4"/>
  <c r="D13" i="4"/>
  <c r="H2" i="5"/>
  <c r="P4" i="4"/>
  <c r="P9" i="4"/>
  <c r="E6" i="3"/>
  <c r="I56" i="1" l="1"/>
  <c r="J56" i="1" s="1"/>
  <c r="I51" i="1"/>
  <c r="J51" i="1" s="1"/>
  <c r="E57" i="1"/>
  <c r="F57" i="1" s="1"/>
  <c r="I57" i="1"/>
  <c r="J57" i="1" s="1"/>
  <c r="E50" i="1"/>
  <c r="F50" i="1" s="1"/>
  <c r="E56" i="1"/>
  <c r="F56" i="1" s="1"/>
  <c r="E52" i="1"/>
  <c r="F52" i="1" s="1"/>
  <c r="E55" i="1"/>
  <c r="F55" i="1" s="1"/>
  <c r="E51" i="1"/>
  <c r="F51" i="1" s="1"/>
  <c r="E59" i="1"/>
  <c r="F59" i="1" s="1"/>
  <c r="Q12" i="4" l="1"/>
  <c r="P8" i="4"/>
  <c r="J100" i="5" l="1"/>
  <c r="J99" i="5"/>
  <c r="J98" i="5"/>
  <c r="J97" i="5"/>
  <c r="J96" i="5"/>
  <c r="J87" i="5"/>
  <c r="K87" i="5" s="1"/>
  <c r="J76" i="5"/>
  <c r="J77" i="5"/>
  <c r="J78" i="5"/>
  <c r="J79" i="5"/>
  <c r="J74" i="5"/>
  <c r="J68" i="5"/>
  <c r="J69" i="5"/>
  <c r="J51" i="5"/>
  <c r="K51" i="5" s="1"/>
  <c r="J52" i="5"/>
  <c r="K52" i="5" s="1"/>
  <c r="J53" i="5"/>
  <c r="K53" i="5" s="1"/>
  <c r="J54" i="5"/>
  <c r="K54" i="5" s="1"/>
  <c r="J55" i="5"/>
  <c r="K55" i="5" s="1"/>
  <c r="J50" i="5"/>
  <c r="K50" i="5" s="1"/>
  <c r="J20" i="5"/>
  <c r="J11" i="5"/>
  <c r="K11" i="5" s="1"/>
  <c r="J12" i="5"/>
  <c r="K12" i="5" s="1"/>
  <c r="J13" i="5"/>
  <c r="K13" i="5" s="1"/>
  <c r="J14" i="5"/>
  <c r="K14" i="5" s="1"/>
  <c r="J10" i="5"/>
  <c r="K10" i="5" s="1"/>
  <c r="F167" i="4" l="1"/>
  <c r="F164" i="4"/>
  <c r="F161" i="4"/>
  <c r="F158" i="4"/>
  <c r="M9" i="4"/>
  <c r="L19" i="3"/>
  <c r="E19" i="3"/>
  <c r="H109" i="5"/>
  <c r="H108" i="5"/>
  <c r="H107" i="5"/>
  <c r="H106" i="5"/>
  <c r="H105" i="5"/>
  <c r="H104" i="5"/>
  <c r="H101" i="5"/>
  <c r="H100" i="5"/>
  <c r="H99" i="5"/>
  <c r="H98" i="5"/>
  <c r="H97" i="5"/>
  <c r="H96" i="5"/>
  <c r="H93" i="5"/>
  <c r="H90" i="5"/>
  <c r="H87" i="5"/>
  <c r="H86" i="5"/>
  <c r="H85" i="5"/>
  <c r="H84" i="5"/>
  <c r="H83" i="5"/>
  <c r="H82" i="5"/>
  <c r="H79" i="5"/>
  <c r="H78" i="5"/>
  <c r="H77" i="5"/>
  <c r="H76" i="5"/>
  <c r="H75" i="5"/>
  <c r="H74" i="5"/>
  <c r="H71" i="5"/>
  <c r="H70" i="5"/>
  <c r="H69" i="5"/>
  <c r="H68" i="5"/>
  <c r="H67" i="5"/>
  <c r="H66" i="5"/>
  <c r="H63" i="5"/>
  <c r="H62" i="5"/>
  <c r="H61" i="5"/>
  <c r="H60" i="5"/>
  <c r="H59" i="5"/>
  <c r="H58" i="5"/>
  <c r="H55" i="5"/>
  <c r="H54" i="5"/>
  <c r="H53" i="5"/>
  <c r="H52" i="5"/>
  <c r="H51" i="5"/>
  <c r="H50" i="5"/>
  <c r="H47" i="5"/>
  <c r="H46" i="5"/>
  <c r="H45" i="5"/>
  <c r="H44" i="5"/>
  <c r="H43" i="5"/>
  <c r="H42" i="5"/>
  <c r="H39" i="5"/>
  <c r="H38" i="5"/>
  <c r="H37" i="5"/>
  <c r="H36" i="5"/>
  <c r="H35" i="5"/>
  <c r="H34" i="5"/>
  <c r="H31" i="5"/>
  <c r="H30" i="5"/>
  <c r="H29" i="5"/>
  <c r="H28" i="5"/>
  <c r="H27" i="5"/>
  <c r="H26" i="5"/>
  <c r="H23" i="5"/>
  <c r="H22" i="5"/>
  <c r="H21" i="5"/>
  <c r="H20" i="5"/>
  <c r="H19" i="5"/>
  <c r="H18" i="5"/>
  <c r="H11" i="5"/>
  <c r="H12" i="5"/>
  <c r="H13" i="5"/>
  <c r="H14" i="5"/>
  <c r="H15" i="5"/>
  <c r="H10" i="5"/>
  <c r="L4" i="4"/>
  <c r="H5" i="5" l="1"/>
  <c r="L2" i="4" l="1"/>
  <c r="L3" i="4"/>
  <c r="D161" i="6" l="1"/>
  <c r="J107" i="5" s="1"/>
  <c r="D156" i="6"/>
  <c r="J101" i="5" s="1"/>
  <c r="D125" i="6"/>
  <c r="J84" i="5" s="1"/>
  <c r="D54" i="6"/>
  <c r="D55" i="6"/>
  <c r="D56" i="6"/>
  <c r="D57" i="6"/>
  <c r="D58" i="6"/>
  <c r="D53" i="6"/>
  <c r="D42" i="6"/>
  <c r="J37" i="5" s="1"/>
  <c r="D44" i="6"/>
  <c r="J39" i="5" s="1"/>
  <c r="D43" i="6"/>
  <c r="J38" i="5" s="1"/>
  <c r="D22" i="6"/>
  <c r="D23" i="6"/>
  <c r="D21" i="6"/>
  <c r="D19" i="6"/>
  <c r="D18" i="6"/>
  <c r="D8" i="6"/>
  <c r="J19" i="5" l="1"/>
  <c r="J18" i="5"/>
  <c r="J23" i="5"/>
  <c r="J21" i="5"/>
  <c r="J22" i="5"/>
  <c r="J43" i="5"/>
  <c r="J44" i="5"/>
  <c r="J46" i="5"/>
  <c r="J47" i="5"/>
  <c r="J42" i="5"/>
  <c r="J45" i="5"/>
  <c r="D36" i="6"/>
  <c r="D33" i="6"/>
  <c r="J30" i="5" l="1"/>
  <c r="J27" i="5"/>
  <c r="G127" i="6"/>
  <c r="G124" i="6"/>
  <c r="G125" i="6"/>
  <c r="G123" i="6"/>
  <c r="L20" i="3"/>
  <c r="E20" i="3"/>
  <c r="D127" i="6"/>
  <c r="D124" i="6"/>
  <c r="D123" i="6"/>
  <c r="D126" i="6"/>
  <c r="D39" i="6"/>
  <c r="J34" i="5" s="1"/>
  <c r="D26" i="6"/>
  <c r="D9" i="6"/>
  <c r="J15" i="5" s="1"/>
  <c r="D93" i="6"/>
  <c r="D142" i="6"/>
  <c r="J93" i="5" s="1"/>
  <c r="D134" i="6"/>
  <c r="D133" i="6"/>
  <c r="J90" i="5" s="1"/>
  <c r="D70" i="6"/>
  <c r="D82" i="6"/>
  <c r="D83" i="6"/>
  <c r="D84" i="6"/>
  <c r="D85" i="6"/>
  <c r="D86" i="6"/>
  <c r="D81" i="6"/>
  <c r="D32" i="6"/>
  <c r="J28" i="5" l="1"/>
  <c r="J29" i="5"/>
  <c r="J26" i="5"/>
  <c r="J85" i="5"/>
  <c r="J82" i="5"/>
  <c r="J86" i="5"/>
  <c r="J83" i="5"/>
  <c r="J59" i="5"/>
  <c r="K59" i="5" s="1"/>
  <c r="J60" i="5"/>
  <c r="K60" i="5" s="1"/>
  <c r="J62" i="5"/>
  <c r="K62" i="5" s="1"/>
  <c r="J58" i="5"/>
  <c r="K58" i="5" s="1"/>
  <c r="J61" i="5"/>
  <c r="K61" i="5" s="1"/>
  <c r="J63" i="5"/>
  <c r="K63" i="5" s="1"/>
  <c r="E28" i="5"/>
  <c r="F28" i="5" l="1"/>
  <c r="G28" i="5"/>
  <c r="L5" i="3" l="1"/>
  <c r="D163" i="6"/>
  <c r="J109" i="5" s="1"/>
  <c r="D162" i="6"/>
  <c r="D160" i="6"/>
  <c r="D159" i="6"/>
  <c r="D158" i="6"/>
  <c r="D40" i="6"/>
  <c r="J35" i="5" s="1"/>
  <c r="D41" i="6"/>
  <c r="J36" i="5" s="1"/>
  <c r="D107" i="6"/>
  <c r="D106" i="6"/>
  <c r="D103" i="6"/>
  <c r="D102" i="6"/>
  <c r="D110" i="6"/>
  <c r="J75" i="5" s="1"/>
  <c r="D37" i="6"/>
  <c r="D35" i="6"/>
  <c r="D34" i="6"/>
  <c r="J31" i="5" l="1"/>
  <c r="J105" i="5"/>
  <c r="J106" i="5"/>
  <c r="J108" i="5"/>
  <c r="J104" i="5"/>
  <c r="J71" i="5"/>
  <c r="J70" i="5"/>
  <c r="J66" i="5"/>
  <c r="J67" i="5"/>
  <c r="M5" i="3"/>
  <c r="I7" i="4"/>
  <c r="L18" i="3"/>
  <c r="L17" i="3"/>
  <c r="L16" i="3"/>
  <c r="L15" i="3"/>
  <c r="L14" i="3"/>
  <c r="L13" i="3"/>
  <c r="L12" i="3"/>
  <c r="L11" i="3"/>
  <c r="L10" i="3"/>
  <c r="L9" i="3"/>
  <c r="L8" i="3"/>
  <c r="L7" i="3"/>
  <c r="L6" i="3"/>
  <c r="E18" i="3"/>
  <c r="E17" i="3"/>
  <c r="E16" i="3"/>
  <c r="E15" i="3"/>
  <c r="E14" i="3"/>
  <c r="E13" i="3"/>
  <c r="E12" i="3"/>
  <c r="E11" i="3"/>
  <c r="E10" i="3"/>
  <c r="E9" i="3"/>
  <c r="E8" i="3"/>
  <c r="E7" i="3"/>
  <c r="E5" i="3"/>
  <c r="B116" i="2"/>
  <c r="D116" i="2" s="1"/>
  <c r="C116" i="2" s="1"/>
  <c r="A116" i="2"/>
  <c r="B115" i="2"/>
  <c r="D115" i="2" s="1"/>
  <c r="C115" i="2" s="1"/>
  <c r="A115" i="2"/>
  <c r="D114" i="2"/>
  <c r="C114" i="2" s="1"/>
  <c r="B114" i="2"/>
  <c r="A114" i="2"/>
  <c r="B113" i="2"/>
  <c r="D113" i="2" s="1"/>
  <c r="C113" i="2" s="1"/>
  <c r="A113" i="2"/>
  <c r="B112" i="2"/>
  <c r="D112" i="2" s="1"/>
  <c r="C112" i="2" s="1"/>
  <c r="A112" i="2"/>
  <c r="B111" i="2"/>
  <c r="D111" i="2" s="1"/>
  <c r="C111" i="2" s="1"/>
  <c r="A111" i="2"/>
  <c r="B110" i="2"/>
  <c r="D110" i="2" s="1"/>
  <c r="C110" i="2" s="1"/>
  <c r="A110" i="2"/>
  <c r="B109" i="2"/>
  <c r="D109" i="2" s="1"/>
  <c r="C109" i="2" s="1"/>
  <c r="A109" i="2"/>
  <c r="B108" i="2"/>
  <c r="D108" i="2" s="1"/>
  <c r="C108" i="2" s="1"/>
  <c r="A108" i="2"/>
  <c r="B107" i="2"/>
  <c r="D107" i="2" s="1"/>
  <c r="C107" i="2" s="1"/>
  <c r="A107" i="2"/>
  <c r="B106" i="2"/>
  <c r="D106" i="2" s="1"/>
  <c r="C106" i="2" s="1"/>
  <c r="A106" i="2"/>
  <c r="B105" i="2"/>
  <c r="D105" i="2" s="1"/>
  <c r="C105" i="2" s="1"/>
  <c r="A105" i="2"/>
  <c r="B104" i="2"/>
  <c r="D104" i="2" s="1"/>
  <c r="C104" i="2" s="1"/>
  <c r="A104" i="2"/>
  <c r="B103" i="2"/>
  <c r="D103" i="2" s="1"/>
  <c r="C103" i="2" s="1"/>
  <c r="A103" i="2"/>
  <c r="B102" i="2"/>
  <c r="D102" i="2" s="1"/>
  <c r="C102" i="2" s="1"/>
  <c r="A102" i="2"/>
  <c r="B101" i="2"/>
  <c r="D101" i="2" s="1"/>
  <c r="C101" i="2" s="1"/>
  <c r="A101" i="2"/>
  <c r="B100" i="2"/>
  <c r="D100" i="2" s="1"/>
  <c r="C100" i="2" s="1"/>
  <c r="A100" i="2"/>
  <c r="B99" i="2"/>
  <c r="D99" i="2" s="1"/>
  <c r="C99" i="2" s="1"/>
  <c r="A99" i="2"/>
  <c r="B98" i="2"/>
  <c r="D98" i="2" s="1"/>
  <c r="C98" i="2" s="1"/>
  <c r="A98" i="2"/>
  <c r="B97" i="2"/>
  <c r="D97" i="2" s="1"/>
  <c r="C97" i="2" s="1"/>
  <c r="A97" i="2"/>
  <c r="B96" i="2"/>
  <c r="D96" i="2" s="1"/>
  <c r="C96" i="2" s="1"/>
  <c r="A96" i="2"/>
  <c r="D95" i="2"/>
  <c r="C95" i="2" s="1"/>
  <c r="B95" i="2"/>
  <c r="A95" i="2"/>
  <c r="B94" i="2"/>
  <c r="D94" i="2" s="1"/>
  <c r="C94" i="2" s="1"/>
  <c r="A94" i="2"/>
  <c r="B93" i="2"/>
  <c r="D93" i="2" s="1"/>
  <c r="C93" i="2" s="1"/>
  <c r="A93" i="2"/>
  <c r="B92" i="2"/>
  <c r="D92" i="2" s="1"/>
  <c r="C92" i="2" s="1"/>
  <c r="A92" i="2"/>
  <c r="B91" i="2"/>
  <c r="D91" i="2" s="1"/>
  <c r="C91" i="2" s="1"/>
  <c r="A91" i="2"/>
  <c r="B90" i="2"/>
  <c r="D90" i="2" s="1"/>
  <c r="C90" i="2" s="1"/>
  <c r="A90" i="2"/>
  <c r="B89" i="2"/>
  <c r="D89" i="2" s="1"/>
  <c r="C89" i="2" s="1"/>
  <c r="A89" i="2"/>
  <c r="B88" i="2"/>
  <c r="D88" i="2" s="1"/>
  <c r="C88" i="2" s="1"/>
  <c r="A88" i="2"/>
  <c r="B87" i="2"/>
  <c r="D87" i="2" s="1"/>
  <c r="C87" i="2" s="1"/>
  <c r="A87" i="2"/>
  <c r="B86" i="2"/>
  <c r="D86" i="2" s="1"/>
  <c r="C86" i="2" s="1"/>
  <c r="A86" i="2"/>
  <c r="B85" i="2"/>
  <c r="D85" i="2" s="1"/>
  <c r="C85" i="2" s="1"/>
  <c r="A85" i="2"/>
  <c r="B84" i="2"/>
  <c r="D84" i="2" s="1"/>
  <c r="C84" i="2" s="1"/>
  <c r="A84" i="2"/>
  <c r="B83" i="2"/>
  <c r="D83" i="2" s="1"/>
  <c r="C83" i="2" s="1"/>
  <c r="A83" i="2"/>
  <c r="B82" i="2"/>
  <c r="D82" i="2" s="1"/>
  <c r="C82" i="2" s="1"/>
  <c r="A82" i="2"/>
  <c r="B81" i="2"/>
  <c r="D81" i="2" s="1"/>
  <c r="C81" i="2" s="1"/>
  <c r="A81" i="2"/>
  <c r="W80" i="2"/>
  <c r="Y80" i="2" s="1"/>
  <c r="X80" i="2" s="1"/>
  <c r="V80" i="2"/>
  <c r="B80" i="2"/>
  <c r="D80" i="2" s="1"/>
  <c r="C80" i="2" s="1"/>
  <c r="A80" i="2"/>
  <c r="W79" i="2"/>
  <c r="Y79" i="2" s="1"/>
  <c r="X79" i="2" s="1"/>
  <c r="V79" i="2"/>
  <c r="B79" i="2"/>
  <c r="D79" i="2" s="1"/>
  <c r="C79" i="2" s="1"/>
  <c r="A79" i="2"/>
  <c r="W78" i="2"/>
  <c r="Y78" i="2" s="1"/>
  <c r="X78" i="2" s="1"/>
  <c r="V78" i="2"/>
  <c r="B78" i="2"/>
  <c r="D78" i="2" s="1"/>
  <c r="C78" i="2" s="1"/>
  <c r="A78" i="2"/>
  <c r="W77" i="2"/>
  <c r="Y77" i="2" s="1"/>
  <c r="X77" i="2" s="1"/>
  <c r="V77" i="2"/>
  <c r="B77" i="2"/>
  <c r="D77" i="2" s="1"/>
  <c r="C77" i="2" s="1"/>
  <c r="A77" i="2"/>
  <c r="W76" i="2"/>
  <c r="Y76" i="2" s="1"/>
  <c r="X76" i="2" s="1"/>
  <c r="V76" i="2"/>
  <c r="B76" i="2"/>
  <c r="D76" i="2" s="1"/>
  <c r="C76" i="2" s="1"/>
  <c r="A76" i="2"/>
  <c r="W75" i="2"/>
  <c r="Y75" i="2" s="1"/>
  <c r="X75" i="2" s="1"/>
  <c r="V75" i="2"/>
  <c r="B75" i="2"/>
  <c r="D75" i="2" s="1"/>
  <c r="C75" i="2" s="1"/>
  <c r="A75" i="2"/>
  <c r="W74" i="2"/>
  <c r="Y74" i="2" s="1"/>
  <c r="X74" i="2" s="1"/>
  <c r="V74" i="2"/>
  <c r="B74" i="2"/>
  <c r="D74" i="2" s="1"/>
  <c r="C74" i="2" s="1"/>
  <c r="A74" i="2"/>
  <c r="W73" i="2"/>
  <c r="Y73" i="2" s="1"/>
  <c r="X73" i="2" s="1"/>
  <c r="V73" i="2"/>
  <c r="B73" i="2"/>
  <c r="D73" i="2" s="1"/>
  <c r="C73" i="2" s="1"/>
  <c r="A73" i="2"/>
  <c r="W72" i="2"/>
  <c r="Y72" i="2" s="1"/>
  <c r="X72" i="2" s="1"/>
  <c r="V72" i="2"/>
  <c r="B72" i="2"/>
  <c r="D72" i="2" s="1"/>
  <c r="C72" i="2" s="1"/>
  <c r="A72" i="2"/>
  <c r="W71" i="2"/>
  <c r="Y71" i="2" s="1"/>
  <c r="X71" i="2" s="1"/>
  <c r="V71" i="2"/>
  <c r="B71" i="2"/>
  <c r="D71" i="2" s="1"/>
  <c r="C71" i="2" s="1"/>
  <c r="A71" i="2"/>
  <c r="W70" i="2"/>
  <c r="Y70" i="2" s="1"/>
  <c r="X70" i="2" s="1"/>
  <c r="V70" i="2"/>
  <c r="B70" i="2"/>
  <c r="D70" i="2" s="1"/>
  <c r="C70" i="2" s="1"/>
  <c r="A70" i="2"/>
  <c r="W69" i="2"/>
  <c r="Y69" i="2" s="1"/>
  <c r="X69" i="2" s="1"/>
  <c r="V69" i="2"/>
  <c r="B69" i="2"/>
  <c r="D69" i="2" s="1"/>
  <c r="C69" i="2" s="1"/>
  <c r="A69" i="2"/>
  <c r="W68" i="2"/>
  <c r="Y68" i="2" s="1"/>
  <c r="X68" i="2" s="1"/>
  <c r="V68" i="2"/>
  <c r="B68" i="2"/>
  <c r="D68" i="2" s="1"/>
  <c r="C68" i="2" s="1"/>
  <c r="A68" i="2"/>
  <c r="W67" i="2"/>
  <c r="Y67" i="2" s="1"/>
  <c r="X67" i="2" s="1"/>
  <c r="V67" i="2"/>
  <c r="B67" i="2"/>
  <c r="D67" i="2" s="1"/>
  <c r="C67" i="2" s="1"/>
  <c r="A67" i="2"/>
  <c r="W66" i="2"/>
  <c r="Y66" i="2" s="1"/>
  <c r="X66" i="2" s="1"/>
  <c r="V66" i="2"/>
  <c r="B66" i="2"/>
  <c r="D66" i="2" s="1"/>
  <c r="C66" i="2" s="1"/>
  <c r="A66" i="2"/>
  <c r="W65" i="2"/>
  <c r="Y65" i="2" s="1"/>
  <c r="X65" i="2" s="1"/>
  <c r="V65" i="2"/>
  <c r="B65" i="2"/>
  <c r="D65" i="2" s="1"/>
  <c r="C65" i="2" s="1"/>
  <c r="A65" i="2"/>
  <c r="W64" i="2"/>
  <c r="Y64" i="2" s="1"/>
  <c r="X64" i="2" s="1"/>
  <c r="V64" i="2"/>
  <c r="B64" i="2"/>
  <c r="D64" i="2" s="1"/>
  <c r="C64" i="2" s="1"/>
  <c r="A64" i="2"/>
  <c r="W63" i="2"/>
  <c r="Y63" i="2" s="1"/>
  <c r="X63" i="2" s="1"/>
  <c r="V63" i="2"/>
  <c r="B63" i="2"/>
  <c r="D63" i="2" s="1"/>
  <c r="C63" i="2" s="1"/>
  <c r="A63" i="2"/>
  <c r="W62" i="2"/>
  <c r="Y62" i="2" s="1"/>
  <c r="X62" i="2" s="1"/>
  <c r="V62" i="2"/>
  <c r="I62" i="2"/>
  <c r="K62" i="2" s="1"/>
  <c r="J62" i="2" s="1"/>
  <c r="H62" i="2"/>
  <c r="B62" i="2"/>
  <c r="D62" i="2" s="1"/>
  <c r="C62" i="2" s="1"/>
  <c r="A62" i="2"/>
  <c r="W61" i="2"/>
  <c r="Y61" i="2" s="1"/>
  <c r="X61" i="2" s="1"/>
  <c r="V61" i="2"/>
  <c r="I61" i="2"/>
  <c r="K61" i="2" s="1"/>
  <c r="J61" i="2" s="1"/>
  <c r="H61" i="2"/>
  <c r="B61" i="2"/>
  <c r="D61" i="2" s="1"/>
  <c r="C61" i="2" s="1"/>
  <c r="A61" i="2"/>
  <c r="W60" i="2"/>
  <c r="Y60" i="2" s="1"/>
  <c r="X60" i="2" s="1"/>
  <c r="V60" i="2"/>
  <c r="I60" i="2"/>
  <c r="K60" i="2" s="1"/>
  <c r="J60" i="2" s="1"/>
  <c r="H60" i="2"/>
  <c r="B60" i="2"/>
  <c r="D60" i="2" s="1"/>
  <c r="C60" i="2" s="1"/>
  <c r="A60" i="2"/>
  <c r="W59" i="2"/>
  <c r="Y59" i="2" s="1"/>
  <c r="X59" i="2" s="1"/>
  <c r="V59" i="2"/>
  <c r="I59" i="2"/>
  <c r="K59" i="2" s="1"/>
  <c r="J59" i="2" s="1"/>
  <c r="H59" i="2"/>
  <c r="B59" i="2"/>
  <c r="D59" i="2" s="1"/>
  <c r="C59" i="2" s="1"/>
  <c r="A59" i="2"/>
  <c r="W58" i="2"/>
  <c r="Y58" i="2" s="1"/>
  <c r="X58" i="2" s="1"/>
  <c r="V58" i="2"/>
  <c r="I58" i="2"/>
  <c r="K58" i="2" s="1"/>
  <c r="J58" i="2" s="1"/>
  <c r="H58" i="2"/>
  <c r="B58" i="2"/>
  <c r="D58" i="2" s="1"/>
  <c r="C58" i="2" s="1"/>
  <c r="A58" i="2"/>
  <c r="W57" i="2"/>
  <c r="Y57" i="2" s="1"/>
  <c r="X57" i="2" s="1"/>
  <c r="V57" i="2"/>
  <c r="I57" i="2"/>
  <c r="K57" i="2" s="1"/>
  <c r="J57" i="2" s="1"/>
  <c r="H57" i="2"/>
  <c r="B57" i="2"/>
  <c r="D57" i="2" s="1"/>
  <c r="C57" i="2" s="1"/>
  <c r="A57" i="2"/>
  <c r="W56" i="2"/>
  <c r="Y56" i="2" s="1"/>
  <c r="X56" i="2" s="1"/>
  <c r="V56" i="2"/>
  <c r="I56" i="2"/>
  <c r="K56" i="2" s="1"/>
  <c r="J56" i="2" s="1"/>
  <c r="H56" i="2"/>
  <c r="B56" i="2"/>
  <c r="D56" i="2" s="1"/>
  <c r="C56" i="2" s="1"/>
  <c r="A56" i="2"/>
  <c r="W55" i="2"/>
  <c r="Y55" i="2" s="1"/>
  <c r="X55" i="2" s="1"/>
  <c r="V55" i="2"/>
  <c r="I55" i="2"/>
  <c r="K55" i="2" s="1"/>
  <c r="J55" i="2" s="1"/>
  <c r="H55" i="2"/>
  <c r="B55" i="2"/>
  <c r="D55" i="2" s="1"/>
  <c r="C55" i="2" s="1"/>
  <c r="A55" i="2"/>
  <c r="W54" i="2"/>
  <c r="Y54" i="2" s="1"/>
  <c r="X54" i="2" s="1"/>
  <c r="V54" i="2"/>
  <c r="I54" i="2"/>
  <c r="K54" i="2" s="1"/>
  <c r="J54" i="2" s="1"/>
  <c r="H54" i="2"/>
  <c r="B54" i="2"/>
  <c r="D54" i="2" s="1"/>
  <c r="C54" i="2" s="1"/>
  <c r="A54" i="2"/>
  <c r="W53" i="2"/>
  <c r="Y53" i="2" s="1"/>
  <c r="X53" i="2" s="1"/>
  <c r="V53" i="2"/>
  <c r="I53" i="2"/>
  <c r="K53" i="2" s="1"/>
  <c r="J53" i="2" s="1"/>
  <c r="H53" i="2"/>
  <c r="B53" i="2"/>
  <c r="D53" i="2" s="1"/>
  <c r="C53" i="2" s="1"/>
  <c r="A53" i="2"/>
  <c r="W52" i="2"/>
  <c r="Y52" i="2" s="1"/>
  <c r="X52" i="2" s="1"/>
  <c r="V52" i="2"/>
  <c r="I52" i="2"/>
  <c r="K52" i="2" s="1"/>
  <c r="J52" i="2" s="1"/>
  <c r="H52" i="2"/>
  <c r="B52" i="2"/>
  <c r="D52" i="2" s="1"/>
  <c r="C52" i="2" s="1"/>
  <c r="A52" i="2"/>
  <c r="W51" i="2"/>
  <c r="Y51" i="2" s="1"/>
  <c r="X51" i="2" s="1"/>
  <c r="V51" i="2"/>
  <c r="I51" i="2"/>
  <c r="K51" i="2" s="1"/>
  <c r="J51" i="2" s="1"/>
  <c r="H51" i="2"/>
  <c r="B51" i="2"/>
  <c r="D51" i="2" s="1"/>
  <c r="C51" i="2" s="1"/>
  <c r="A51" i="2"/>
  <c r="W50" i="2"/>
  <c r="Y50" i="2" s="1"/>
  <c r="X50" i="2" s="1"/>
  <c r="V50" i="2"/>
  <c r="I50" i="2"/>
  <c r="K50" i="2" s="1"/>
  <c r="J50" i="2" s="1"/>
  <c r="H50" i="2"/>
  <c r="B50" i="2"/>
  <c r="D50" i="2" s="1"/>
  <c r="C50" i="2" s="1"/>
  <c r="A50" i="2"/>
  <c r="W49" i="2"/>
  <c r="Y49" i="2" s="1"/>
  <c r="X49" i="2" s="1"/>
  <c r="V49" i="2"/>
  <c r="I49" i="2"/>
  <c r="K49" i="2" s="1"/>
  <c r="J49" i="2" s="1"/>
  <c r="H49" i="2"/>
  <c r="B49" i="2"/>
  <c r="D49" i="2" s="1"/>
  <c r="C49" i="2" s="1"/>
  <c r="A49" i="2"/>
  <c r="W48" i="2"/>
  <c r="Y48" i="2" s="1"/>
  <c r="X48" i="2" s="1"/>
  <c r="V48" i="2"/>
  <c r="I48" i="2"/>
  <c r="K48" i="2" s="1"/>
  <c r="J48" i="2" s="1"/>
  <c r="H48" i="2"/>
  <c r="B48" i="2"/>
  <c r="D48" i="2" s="1"/>
  <c r="C48" i="2" s="1"/>
  <c r="A48" i="2"/>
  <c r="W47" i="2"/>
  <c r="Y47" i="2" s="1"/>
  <c r="X47" i="2" s="1"/>
  <c r="V47" i="2"/>
  <c r="I47" i="2"/>
  <c r="K47" i="2" s="1"/>
  <c r="J47" i="2" s="1"/>
  <c r="H47" i="2"/>
  <c r="B47" i="2"/>
  <c r="D47" i="2" s="1"/>
  <c r="C47" i="2" s="1"/>
  <c r="A47" i="2"/>
  <c r="W46" i="2"/>
  <c r="Y46" i="2" s="1"/>
  <c r="X46" i="2" s="1"/>
  <c r="V46" i="2"/>
  <c r="I46" i="2"/>
  <c r="K46" i="2" s="1"/>
  <c r="J46" i="2" s="1"/>
  <c r="H46" i="2"/>
  <c r="B46" i="2"/>
  <c r="D46" i="2" s="1"/>
  <c r="C46" i="2" s="1"/>
  <c r="A46" i="2"/>
  <c r="W45" i="2"/>
  <c r="Y45" i="2" s="1"/>
  <c r="X45" i="2" s="1"/>
  <c r="V45" i="2"/>
  <c r="I45" i="2"/>
  <c r="K45" i="2" s="1"/>
  <c r="J45" i="2" s="1"/>
  <c r="H45" i="2"/>
  <c r="B45" i="2"/>
  <c r="D45" i="2" s="1"/>
  <c r="C45" i="2" s="1"/>
  <c r="A45" i="2"/>
  <c r="W44" i="2"/>
  <c r="Y44" i="2" s="1"/>
  <c r="X44" i="2" s="1"/>
  <c r="V44" i="2"/>
  <c r="P44" i="2"/>
  <c r="R44" i="2" s="1"/>
  <c r="Q44" i="2" s="1"/>
  <c r="O44" i="2"/>
  <c r="I44" i="2"/>
  <c r="K44" i="2" s="1"/>
  <c r="J44" i="2" s="1"/>
  <c r="H44" i="2"/>
  <c r="B44" i="2"/>
  <c r="D44" i="2" s="1"/>
  <c r="C44" i="2" s="1"/>
  <c r="A44" i="2"/>
  <c r="W43" i="2"/>
  <c r="Y43" i="2" s="1"/>
  <c r="X43" i="2" s="1"/>
  <c r="V43" i="2"/>
  <c r="P43" i="2"/>
  <c r="R43" i="2" s="1"/>
  <c r="Q43" i="2" s="1"/>
  <c r="O43" i="2"/>
  <c r="I43" i="2"/>
  <c r="K43" i="2" s="1"/>
  <c r="J43" i="2" s="1"/>
  <c r="H43" i="2"/>
  <c r="B43" i="2"/>
  <c r="D43" i="2" s="1"/>
  <c r="C43" i="2" s="1"/>
  <c r="A43" i="2"/>
  <c r="W42" i="2"/>
  <c r="Y42" i="2" s="1"/>
  <c r="X42" i="2" s="1"/>
  <c r="V42" i="2"/>
  <c r="P42" i="2"/>
  <c r="R42" i="2" s="1"/>
  <c r="Q42" i="2" s="1"/>
  <c r="O42" i="2"/>
  <c r="I42" i="2"/>
  <c r="K42" i="2" s="1"/>
  <c r="J42" i="2" s="1"/>
  <c r="H42" i="2"/>
  <c r="B42" i="2"/>
  <c r="D42" i="2" s="1"/>
  <c r="C42" i="2" s="1"/>
  <c r="A42" i="2"/>
  <c r="W41" i="2"/>
  <c r="Y41" i="2" s="1"/>
  <c r="X41" i="2" s="1"/>
  <c r="V41" i="2"/>
  <c r="P41" i="2"/>
  <c r="R41" i="2" s="1"/>
  <c r="Q41" i="2" s="1"/>
  <c r="O41" i="2"/>
  <c r="I41" i="2"/>
  <c r="K41" i="2" s="1"/>
  <c r="J41" i="2" s="1"/>
  <c r="H41" i="2"/>
  <c r="B41" i="2"/>
  <c r="D41" i="2" s="1"/>
  <c r="C41" i="2" s="1"/>
  <c r="A41" i="2"/>
  <c r="W40" i="2"/>
  <c r="Y40" i="2" s="1"/>
  <c r="X40" i="2" s="1"/>
  <c r="V40" i="2"/>
  <c r="P40" i="2"/>
  <c r="R40" i="2" s="1"/>
  <c r="Q40" i="2" s="1"/>
  <c r="O40" i="2"/>
  <c r="I40" i="2"/>
  <c r="K40" i="2" s="1"/>
  <c r="J40" i="2" s="1"/>
  <c r="H40" i="2"/>
  <c r="B40" i="2"/>
  <c r="D40" i="2" s="1"/>
  <c r="C40" i="2" s="1"/>
  <c r="A40" i="2"/>
  <c r="W39" i="2"/>
  <c r="Y39" i="2" s="1"/>
  <c r="X39" i="2" s="1"/>
  <c r="V39" i="2"/>
  <c r="P39" i="2"/>
  <c r="R39" i="2" s="1"/>
  <c r="Q39" i="2" s="1"/>
  <c r="O39" i="2"/>
  <c r="I39" i="2"/>
  <c r="K39" i="2" s="1"/>
  <c r="J39" i="2" s="1"/>
  <c r="H39" i="2"/>
  <c r="B39" i="2"/>
  <c r="D39" i="2" s="1"/>
  <c r="C39" i="2" s="1"/>
  <c r="A39" i="2"/>
  <c r="W38" i="2"/>
  <c r="Y38" i="2" s="1"/>
  <c r="X38" i="2" s="1"/>
  <c r="V38" i="2"/>
  <c r="P38" i="2"/>
  <c r="R38" i="2" s="1"/>
  <c r="Q38" i="2" s="1"/>
  <c r="O38" i="2"/>
  <c r="I38" i="2"/>
  <c r="K38" i="2" s="1"/>
  <c r="J38" i="2" s="1"/>
  <c r="H38" i="2"/>
  <c r="B38" i="2"/>
  <c r="D38" i="2" s="1"/>
  <c r="C38" i="2" s="1"/>
  <c r="A38" i="2"/>
  <c r="W37" i="2"/>
  <c r="Y37" i="2" s="1"/>
  <c r="X37" i="2" s="1"/>
  <c r="V37" i="2"/>
  <c r="P37" i="2"/>
  <c r="R37" i="2" s="1"/>
  <c r="Q37" i="2" s="1"/>
  <c r="O37" i="2"/>
  <c r="I37" i="2"/>
  <c r="K37" i="2" s="1"/>
  <c r="J37" i="2" s="1"/>
  <c r="H37" i="2"/>
  <c r="B37" i="2"/>
  <c r="D37" i="2" s="1"/>
  <c r="C37" i="2" s="1"/>
  <c r="A37" i="2"/>
  <c r="W36" i="2"/>
  <c r="Y36" i="2" s="1"/>
  <c r="X36" i="2" s="1"/>
  <c r="V36" i="2"/>
  <c r="P36" i="2"/>
  <c r="R36" i="2" s="1"/>
  <c r="Q36" i="2" s="1"/>
  <c r="O36" i="2"/>
  <c r="I36" i="2"/>
  <c r="K36" i="2" s="1"/>
  <c r="J36" i="2" s="1"/>
  <c r="H36" i="2"/>
  <c r="B36" i="2"/>
  <c r="D36" i="2" s="1"/>
  <c r="C36" i="2" s="1"/>
  <c r="A36" i="2"/>
  <c r="W35" i="2"/>
  <c r="Y35" i="2" s="1"/>
  <c r="X35" i="2" s="1"/>
  <c r="V35" i="2"/>
  <c r="P35" i="2"/>
  <c r="R35" i="2" s="1"/>
  <c r="Q35" i="2" s="1"/>
  <c r="O35" i="2"/>
  <c r="I35" i="2"/>
  <c r="K35" i="2" s="1"/>
  <c r="J35" i="2" s="1"/>
  <c r="H35" i="2"/>
  <c r="B35" i="2"/>
  <c r="D35" i="2" s="1"/>
  <c r="C35" i="2" s="1"/>
  <c r="A35" i="2"/>
  <c r="W34" i="2"/>
  <c r="Y34" i="2" s="1"/>
  <c r="X34" i="2" s="1"/>
  <c r="V34" i="2"/>
  <c r="P34" i="2"/>
  <c r="R34" i="2" s="1"/>
  <c r="Q34" i="2" s="1"/>
  <c r="O34" i="2"/>
  <c r="I34" i="2"/>
  <c r="K34" i="2" s="1"/>
  <c r="J34" i="2" s="1"/>
  <c r="H34" i="2"/>
  <c r="B34" i="2"/>
  <c r="D34" i="2" s="1"/>
  <c r="C34" i="2" s="1"/>
  <c r="A34" i="2"/>
  <c r="W33" i="2"/>
  <c r="Y33" i="2" s="1"/>
  <c r="X33" i="2" s="1"/>
  <c r="V33" i="2"/>
  <c r="P33" i="2"/>
  <c r="R33" i="2" s="1"/>
  <c r="Q33" i="2" s="1"/>
  <c r="O33" i="2"/>
  <c r="I33" i="2"/>
  <c r="K33" i="2" s="1"/>
  <c r="J33" i="2" s="1"/>
  <c r="H33" i="2"/>
  <c r="B33" i="2"/>
  <c r="D33" i="2" s="1"/>
  <c r="C33" i="2" s="1"/>
  <c r="A33" i="2"/>
  <c r="W32" i="2"/>
  <c r="Y32" i="2" s="1"/>
  <c r="X32" i="2" s="1"/>
  <c r="V32" i="2"/>
  <c r="P32" i="2"/>
  <c r="R32" i="2" s="1"/>
  <c r="Q32" i="2" s="1"/>
  <c r="O32" i="2"/>
  <c r="I32" i="2"/>
  <c r="K32" i="2" s="1"/>
  <c r="J32" i="2" s="1"/>
  <c r="H32" i="2"/>
  <c r="B32" i="2"/>
  <c r="D32" i="2" s="1"/>
  <c r="C32" i="2" s="1"/>
  <c r="A32" i="2"/>
  <c r="W31" i="2"/>
  <c r="Y31" i="2" s="1"/>
  <c r="X31" i="2" s="1"/>
  <c r="V31" i="2"/>
  <c r="P31" i="2"/>
  <c r="R31" i="2" s="1"/>
  <c r="Q31" i="2" s="1"/>
  <c r="O31" i="2"/>
  <c r="I31" i="2"/>
  <c r="K31" i="2" s="1"/>
  <c r="J31" i="2" s="1"/>
  <c r="H31" i="2"/>
  <c r="B31" i="2"/>
  <c r="D31" i="2" s="1"/>
  <c r="C31" i="2" s="1"/>
  <c r="A31" i="2"/>
  <c r="W30" i="2"/>
  <c r="Y30" i="2" s="1"/>
  <c r="X30" i="2" s="1"/>
  <c r="V30" i="2"/>
  <c r="P30" i="2"/>
  <c r="R30" i="2" s="1"/>
  <c r="Q30" i="2" s="1"/>
  <c r="O30" i="2"/>
  <c r="I30" i="2"/>
  <c r="K30" i="2" s="1"/>
  <c r="J30" i="2" s="1"/>
  <c r="H30" i="2"/>
  <c r="B30" i="2"/>
  <c r="D30" i="2" s="1"/>
  <c r="C30" i="2" s="1"/>
  <c r="A30" i="2"/>
  <c r="W29" i="2"/>
  <c r="Y29" i="2" s="1"/>
  <c r="X29" i="2" s="1"/>
  <c r="V29" i="2"/>
  <c r="P29" i="2"/>
  <c r="R29" i="2" s="1"/>
  <c r="Q29" i="2" s="1"/>
  <c r="O29" i="2"/>
  <c r="I29" i="2"/>
  <c r="K29" i="2" s="1"/>
  <c r="J29" i="2" s="1"/>
  <c r="H29" i="2"/>
  <c r="B29" i="2"/>
  <c r="D29" i="2" s="1"/>
  <c r="C29" i="2" s="1"/>
  <c r="A29" i="2"/>
  <c r="W28" i="2"/>
  <c r="Y28" i="2" s="1"/>
  <c r="X28" i="2" s="1"/>
  <c r="V28" i="2"/>
  <c r="P28" i="2"/>
  <c r="R28" i="2" s="1"/>
  <c r="Q28" i="2" s="1"/>
  <c r="O28" i="2"/>
  <c r="I28" i="2"/>
  <c r="K28" i="2" s="1"/>
  <c r="J28" i="2" s="1"/>
  <c r="H28" i="2"/>
  <c r="B28" i="2"/>
  <c r="D28" i="2" s="1"/>
  <c r="C28" i="2" s="1"/>
  <c r="A28" i="2"/>
  <c r="W27" i="2"/>
  <c r="Y27" i="2" s="1"/>
  <c r="X27" i="2" s="1"/>
  <c r="V27" i="2"/>
  <c r="P27" i="2"/>
  <c r="R27" i="2" s="1"/>
  <c r="Q27" i="2" s="1"/>
  <c r="O27" i="2"/>
  <c r="I27" i="2"/>
  <c r="K27" i="2" s="1"/>
  <c r="J27" i="2" s="1"/>
  <c r="H27" i="2"/>
  <c r="B27" i="2"/>
  <c r="D27" i="2" s="1"/>
  <c r="C27" i="2" s="1"/>
  <c r="A27" i="2"/>
  <c r="W26" i="2"/>
  <c r="Y26" i="2" s="1"/>
  <c r="X26" i="2" s="1"/>
  <c r="V26" i="2"/>
  <c r="P26" i="2"/>
  <c r="R26" i="2" s="1"/>
  <c r="Q26" i="2" s="1"/>
  <c r="O26" i="2"/>
  <c r="I26" i="2"/>
  <c r="K26" i="2" s="1"/>
  <c r="J26" i="2" s="1"/>
  <c r="H26" i="2"/>
  <c r="B26" i="2"/>
  <c r="D26" i="2" s="1"/>
  <c r="C26" i="2" s="1"/>
  <c r="A26" i="2"/>
  <c r="W25" i="2"/>
  <c r="Y25" i="2" s="1"/>
  <c r="X25" i="2" s="1"/>
  <c r="V25" i="2"/>
  <c r="P25" i="2"/>
  <c r="R25" i="2" s="1"/>
  <c r="Q25" i="2" s="1"/>
  <c r="O25" i="2"/>
  <c r="I25" i="2"/>
  <c r="K25" i="2" s="1"/>
  <c r="J25" i="2" s="1"/>
  <c r="H25" i="2"/>
  <c r="B25" i="2"/>
  <c r="D25" i="2" s="1"/>
  <c r="C25" i="2" s="1"/>
  <c r="A25" i="2"/>
  <c r="Y24" i="2"/>
  <c r="X24" i="2" s="1"/>
  <c r="W24" i="2"/>
  <c r="V24" i="2"/>
  <c r="P24" i="2"/>
  <c r="R24" i="2" s="1"/>
  <c r="Q24" i="2" s="1"/>
  <c r="O24" i="2"/>
  <c r="I24" i="2"/>
  <c r="K24" i="2" s="1"/>
  <c r="J24" i="2" s="1"/>
  <c r="H24" i="2"/>
  <c r="B24" i="2"/>
  <c r="D24" i="2" s="1"/>
  <c r="C24" i="2" s="1"/>
  <c r="A24" i="2"/>
  <c r="W23" i="2"/>
  <c r="Y23" i="2" s="1"/>
  <c r="X23" i="2" s="1"/>
  <c r="V23" i="2"/>
  <c r="P23" i="2"/>
  <c r="R23" i="2" s="1"/>
  <c r="Q23" i="2" s="1"/>
  <c r="O23" i="2"/>
  <c r="I23" i="2"/>
  <c r="K23" i="2" s="1"/>
  <c r="J23" i="2" s="1"/>
  <c r="H23" i="2"/>
  <c r="B23" i="2"/>
  <c r="D23" i="2" s="1"/>
  <c r="C23" i="2" s="1"/>
  <c r="A23" i="2"/>
  <c r="W22" i="2"/>
  <c r="Y22" i="2" s="1"/>
  <c r="X22" i="2" s="1"/>
  <c r="V22" i="2"/>
  <c r="P22" i="2"/>
  <c r="R22" i="2" s="1"/>
  <c r="Q22" i="2" s="1"/>
  <c r="O22" i="2"/>
  <c r="I22" i="2"/>
  <c r="K22" i="2" s="1"/>
  <c r="J22" i="2" s="1"/>
  <c r="H22" i="2"/>
  <c r="B22" i="2"/>
  <c r="D22" i="2" s="1"/>
  <c r="C22" i="2" s="1"/>
  <c r="A22" i="2"/>
  <c r="W21" i="2"/>
  <c r="Y21" i="2" s="1"/>
  <c r="X21" i="2" s="1"/>
  <c r="V21" i="2"/>
  <c r="P21" i="2"/>
  <c r="R21" i="2" s="1"/>
  <c r="Q21" i="2" s="1"/>
  <c r="O21" i="2"/>
  <c r="I21" i="2"/>
  <c r="K21" i="2" s="1"/>
  <c r="J21" i="2" s="1"/>
  <c r="H21" i="2"/>
  <c r="B21" i="2"/>
  <c r="D21" i="2" s="1"/>
  <c r="C21" i="2" s="1"/>
  <c r="A21" i="2"/>
  <c r="W20" i="2"/>
  <c r="Y20" i="2" s="1"/>
  <c r="X20" i="2" s="1"/>
  <c r="V20" i="2"/>
  <c r="P20" i="2"/>
  <c r="R20" i="2" s="1"/>
  <c r="Q20" i="2" s="1"/>
  <c r="O20" i="2"/>
  <c r="I20" i="2"/>
  <c r="K20" i="2" s="1"/>
  <c r="J20" i="2" s="1"/>
  <c r="H20" i="2"/>
  <c r="B20" i="2"/>
  <c r="D20" i="2" s="1"/>
  <c r="C20" i="2" s="1"/>
  <c r="A20" i="2"/>
  <c r="W19" i="2"/>
  <c r="Y19" i="2" s="1"/>
  <c r="X19" i="2" s="1"/>
  <c r="V19" i="2"/>
  <c r="P19" i="2"/>
  <c r="R19" i="2" s="1"/>
  <c r="Q19" i="2" s="1"/>
  <c r="O19" i="2"/>
  <c r="I19" i="2"/>
  <c r="K19" i="2" s="1"/>
  <c r="J19" i="2" s="1"/>
  <c r="H19" i="2"/>
  <c r="B19" i="2"/>
  <c r="D19" i="2" s="1"/>
  <c r="C19" i="2" s="1"/>
  <c r="A19" i="2"/>
  <c r="W18" i="2"/>
  <c r="Y18" i="2" s="1"/>
  <c r="X18" i="2" s="1"/>
  <c r="V18" i="2"/>
  <c r="P18" i="2"/>
  <c r="R18" i="2" s="1"/>
  <c r="Q18" i="2" s="1"/>
  <c r="O18" i="2"/>
  <c r="I18" i="2"/>
  <c r="K18" i="2" s="1"/>
  <c r="J18" i="2" s="1"/>
  <c r="H18" i="2"/>
  <c r="B18" i="2"/>
  <c r="D18" i="2" s="1"/>
  <c r="C18" i="2" s="1"/>
  <c r="A18" i="2"/>
  <c r="W17" i="2"/>
  <c r="Y17" i="2" s="1"/>
  <c r="X17" i="2" s="1"/>
  <c r="V17" i="2"/>
  <c r="P17" i="2"/>
  <c r="R17" i="2" s="1"/>
  <c r="Q17" i="2" s="1"/>
  <c r="O17" i="2"/>
  <c r="I17" i="2"/>
  <c r="K17" i="2" s="1"/>
  <c r="J17" i="2" s="1"/>
  <c r="H17" i="2"/>
  <c r="B17" i="2"/>
  <c r="D17" i="2" s="1"/>
  <c r="C17" i="2" s="1"/>
  <c r="A17" i="2"/>
  <c r="W16" i="2"/>
  <c r="Y16" i="2" s="1"/>
  <c r="X16" i="2" s="1"/>
  <c r="V16" i="2"/>
  <c r="P16" i="2"/>
  <c r="R16" i="2" s="1"/>
  <c r="Q16" i="2" s="1"/>
  <c r="O16" i="2"/>
  <c r="I16" i="2"/>
  <c r="K16" i="2" s="1"/>
  <c r="J16" i="2" s="1"/>
  <c r="H16" i="2"/>
  <c r="B16" i="2"/>
  <c r="D16" i="2" s="1"/>
  <c r="C16" i="2" s="1"/>
  <c r="A16" i="2"/>
  <c r="W15" i="2"/>
  <c r="Y15" i="2" s="1"/>
  <c r="X15" i="2" s="1"/>
  <c r="V15" i="2"/>
  <c r="P15" i="2"/>
  <c r="R15" i="2" s="1"/>
  <c r="Q15" i="2" s="1"/>
  <c r="O15" i="2"/>
  <c r="I15" i="2"/>
  <c r="K15" i="2" s="1"/>
  <c r="J15" i="2" s="1"/>
  <c r="H15" i="2"/>
  <c r="B15" i="2"/>
  <c r="D15" i="2" s="1"/>
  <c r="C15" i="2" s="1"/>
  <c r="A15" i="2"/>
  <c r="W14" i="2"/>
  <c r="Y14" i="2" s="1"/>
  <c r="X14" i="2" s="1"/>
  <c r="V14" i="2"/>
  <c r="P14" i="2"/>
  <c r="R14" i="2" s="1"/>
  <c r="Q14" i="2" s="1"/>
  <c r="O14" i="2"/>
  <c r="I14" i="2"/>
  <c r="K14" i="2" s="1"/>
  <c r="J14" i="2" s="1"/>
  <c r="H14" i="2"/>
  <c r="B14" i="2"/>
  <c r="D14" i="2" s="1"/>
  <c r="C14" i="2" s="1"/>
  <c r="A14" i="2"/>
  <c r="W13" i="2"/>
  <c r="Y13" i="2" s="1"/>
  <c r="X13" i="2" s="1"/>
  <c r="V13" i="2"/>
  <c r="P13" i="2"/>
  <c r="R13" i="2" s="1"/>
  <c r="Q13" i="2" s="1"/>
  <c r="O13" i="2"/>
  <c r="I13" i="2"/>
  <c r="K13" i="2" s="1"/>
  <c r="J13" i="2" s="1"/>
  <c r="H13" i="2"/>
  <c r="B13" i="2"/>
  <c r="D13" i="2" s="1"/>
  <c r="C13" i="2" s="1"/>
  <c r="A13" i="2"/>
  <c r="W12" i="2"/>
  <c r="Y12" i="2" s="1"/>
  <c r="X12" i="2" s="1"/>
  <c r="V12" i="2"/>
  <c r="P12" i="2"/>
  <c r="R12" i="2" s="1"/>
  <c r="Q12" i="2" s="1"/>
  <c r="O12" i="2"/>
  <c r="I12" i="2"/>
  <c r="K12" i="2" s="1"/>
  <c r="J12" i="2" s="1"/>
  <c r="H12" i="2"/>
  <c r="B12" i="2"/>
  <c r="D12" i="2" s="1"/>
  <c r="C12" i="2" s="1"/>
  <c r="A12" i="2"/>
  <c r="W11" i="2"/>
  <c r="Y11" i="2" s="1"/>
  <c r="X11" i="2" s="1"/>
  <c r="V11" i="2"/>
  <c r="P11" i="2"/>
  <c r="R11" i="2" s="1"/>
  <c r="Q11" i="2" s="1"/>
  <c r="O11" i="2"/>
  <c r="I11" i="2"/>
  <c r="K11" i="2" s="1"/>
  <c r="J11" i="2" s="1"/>
  <c r="H11" i="2"/>
  <c r="B11" i="2"/>
  <c r="D11" i="2" s="1"/>
  <c r="C11" i="2" s="1"/>
  <c r="A11" i="2"/>
  <c r="W10" i="2"/>
  <c r="Y10" i="2" s="1"/>
  <c r="X10" i="2" s="1"/>
  <c r="V10" i="2"/>
  <c r="P10" i="2"/>
  <c r="R10" i="2" s="1"/>
  <c r="Q10" i="2" s="1"/>
  <c r="O10" i="2"/>
  <c r="I10" i="2"/>
  <c r="K10" i="2" s="1"/>
  <c r="J10" i="2" s="1"/>
  <c r="H10" i="2"/>
  <c r="B10" i="2"/>
  <c r="D10" i="2" s="1"/>
  <c r="C10" i="2" s="1"/>
  <c r="A10" i="2"/>
  <c r="W9" i="2"/>
  <c r="Y9" i="2" s="1"/>
  <c r="X9" i="2" s="1"/>
  <c r="V9" i="2"/>
  <c r="P9" i="2"/>
  <c r="R9" i="2" s="1"/>
  <c r="Q9" i="2" s="1"/>
  <c r="O9" i="2"/>
  <c r="I9" i="2"/>
  <c r="K9" i="2" s="1"/>
  <c r="J9" i="2" s="1"/>
  <c r="H9" i="2"/>
  <c r="B9" i="2"/>
  <c r="D9" i="2" s="1"/>
  <c r="C9" i="2" s="1"/>
  <c r="A9" i="2"/>
  <c r="W8" i="2"/>
  <c r="Y8" i="2" s="1"/>
  <c r="X8" i="2" s="1"/>
  <c r="V8" i="2"/>
  <c r="P8" i="2"/>
  <c r="R8" i="2" s="1"/>
  <c r="Q8" i="2" s="1"/>
  <c r="O8" i="2"/>
  <c r="I8" i="2"/>
  <c r="K8" i="2" s="1"/>
  <c r="J8" i="2" s="1"/>
  <c r="H8" i="2"/>
  <c r="B8" i="2"/>
  <c r="D8" i="2" s="1"/>
  <c r="C8" i="2" s="1"/>
  <c r="A8" i="2"/>
  <c r="I29" i="1"/>
  <c r="B28" i="1" s="1"/>
  <c r="C3" i="2"/>
  <c r="T8" i="4" l="1"/>
  <c r="T3" i="4"/>
  <c r="T2" i="4"/>
  <c r="D5" i="4"/>
  <c r="B45" i="1"/>
  <c r="M6" i="3"/>
  <c r="J29" i="1"/>
  <c r="L21" i="3"/>
  <c r="D2" i="5" s="1"/>
  <c r="E21" i="3"/>
  <c r="C2" i="2"/>
  <c r="B3" i="4"/>
  <c r="F5" i="3"/>
  <c r="F6" i="3" s="1"/>
  <c r="F7" i="3" s="1"/>
  <c r="F8" i="3" s="1"/>
  <c r="F9" i="3" s="1"/>
  <c r="F10" i="3" s="1"/>
  <c r="F11" i="3" s="1"/>
  <c r="F12" i="3" s="1"/>
  <c r="F13" i="3" s="1"/>
  <c r="F14" i="3" s="1"/>
  <c r="F15" i="3" s="1"/>
  <c r="F16" i="3" s="1"/>
  <c r="F17" i="3" s="1"/>
  <c r="F18" i="3" s="1"/>
  <c r="F2" i="4"/>
  <c r="F5" i="4" s="1"/>
  <c r="B7" i="4"/>
  <c r="B6" i="4"/>
  <c r="B4" i="4"/>
  <c r="M7" i="3"/>
  <c r="M8" i="3" s="1"/>
  <c r="M9" i="3" s="1"/>
  <c r="M10" i="3" s="1"/>
  <c r="M11" i="3" s="1"/>
  <c r="M12" i="3" s="1"/>
  <c r="M13" i="3" s="1"/>
  <c r="M14" i="3" s="1"/>
  <c r="M15" i="3" s="1"/>
  <c r="M16" i="3" s="1"/>
  <c r="M17" i="3" s="1"/>
  <c r="M18" i="3" s="1"/>
  <c r="B27" i="1" l="1"/>
  <c r="B26" i="1"/>
  <c r="C24" i="1"/>
  <c r="C27" i="1"/>
  <c r="C26" i="1"/>
  <c r="I29" i="3"/>
  <c r="J29" i="3"/>
  <c r="K46" i="5" s="1"/>
  <c r="C29" i="3"/>
  <c r="K29" i="3"/>
  <c r="D29" i="3"/>
  <c r="B29" i="3"/>
  <c r="E29" i="3"/>
  <c r="H29" i="3"/>
  <c r="K90" i="5" s="1"/>
  <c r="F29" i="3"/>
  <c r="G29" i="3"/>
  <c r="K93" i="5" s="1"/>
  <c r="I40" i="1"/>
  <c r="B5" i="4"/>
  <c r="M20" i="3"/>
  <c r="M23" i="3" s="1"/>
  <c r="M19" i="3"/>
  <c r="F20" i="3"/>
  <c r="F19" i="3"/>
  <c r="C28" i="5"/>
  <c r="C59" i="5"/>
  <c r="D59" i="5" s="1"/>
  <c r="C60" i="5"/>
  <c r="D60" i="5" s="1"/>
  <c r="C54" i="5"/>
  <c r="D54" i="5" s="1"/>
  <c r="C42" i="5"/>
  <c r="D42" i="5" s="1"/>
  <c r="C45" i="5"/>
  <c r="C53" i="5"/>
  <c r="D53" i="5" s="1"/>
  <c r="C47" i="5"/>
  <c r="C61" i="5"/>
  <c r="D61" i="5" s="1"/>
  <c r="C55" i="5"/>
  <c r="D55" i="5" s="1"/>
  <c r="C62" i="5"/>
  <c r="D62" i="5" s="1"/>
  <c r="C50" i="5"/>
  <c r="D50" i="5" s="1"/>
  <c r="C43" i="5"/>
  <c r="D43" i="5" s="1"/>
  <c r="C58" i="5"/>
  <c r="D58" i="5" s="1"/>
  <c r="C52" i="5"/>
  <c r="D52" i="5" s="1"/>
  <c r="C46" i="5"/>
  <c r="C44" i="5"/>
  <c r="D44" i="5" s="1"/>
  <c r="C83" i="5"/>
  <c r="C84" i="5"/>
  <c r="C11" i="5"/>
  <c r="C27" i="5"/>
  <c r="C15" i="5"/>
  <c r="C26" i="5"/>
  <c r="C85" i="5"/>
  <c r="C12" i="5"/>
  <c r="C14" i="5"/>
  <c r="C29" i="5"/>
  <c r="C31" i="5"/>
  <c r="C86" i="5"/>
  <c r="C13" i="5"/>
  <c r="C87" i="5"/>
  <c r="C82" i="5"/>
  <c r="C30" i="5"/>
  <c r="C10" i="5"/>
  <c r="C105" i="5"/>
  <c r="C106" i="5"/>
  <c r="C109" i="5"/>
  <c r="C107" i="5"/>
  <c r="C104" i="5"/>
  <c r="B8" i="4"/>
  <c r="D4" i="5"/>
  <c r="I24" i="1"/>
  <c r="I41" i="1"/>
  <c r="B2" i="4"/>
  <c r="B9" i="4" s="1"/>
  <c r="I38" i="1"/>
  <c r="J38" i="1"/>
  <c r="I23" i="1"/>
  <c r="O36" i="1"/>
  <c r="C4" i="7"/>
  <c r="E4" i="7" s="1"/>
  <c r="E3" i="7"/>
  <c r="C11" i="7" s="1"/>
  <c r="P11" i="1"/>
  <c r="O11" i="1"/>
  <c r="J39" i="1"/>
  <c r="I39" i="1"/>
  <c r="J40" i="1"/>
  <c r="G23" i="4"/>
  <c r="K10" i="1"/>
  <c r="K11" i="1"/>
  <c r="K5" i="1"/>
  <c r="J11" i="1"/>
  <c r="M41" i="1"/>
  <c r="D47" i="5" l="1"/>
  <c r="D26" i="1"/>
  <c r="E26" i="1" s="1"/>
  <c r="D27" i="1"/>
  <c r="D46" i="5"/>
  <c r="D45" i="5"/>
  <c r="D24" i="1"/>
  <c r="E24" i="1" s="1"/>
  <c r="C25" i="1"/>
  <c r="E27" i="1"/>
  <c r="B29" i="7"/>
  <c r="C16" i="7"/>
  <c r="B2" i="5"/>
  <c r="K79" i="5" s="1"/>
  <c r="G179" i="4"/>
  <c r="G177" i="4"/>
  <c r="C177" i="4" s="1"/>
  <c r="F177" i="4" s="1"/>
  <c r="G175" i="4"/>
  <c r="C175" i="4" s="1"/>
  <c r="F175" i="4" s="1"/>
  <c r="G188" i="4"/>
  <c r="G154" i="4"/>
  <c r="G151" i="4"/>
  <c r="E151" i="4" s="1"/>
  <c r="G153" i="4"/>
  <c r="E153" i="4" s="1"/>
  <c r="G150" i="4"/>
  <c r="E150" i="4" s="1"/>
  <c r="G152" i="4"/>
  <c r="E152" i="4" s="1"/>
  <c r="G137" i="4"/>
  <c r="G135" i="4"/>
  <c r="E135" i="4" s="1"/>
  <c r="F135" i="4" s="1"/>
  <c r="G136" i="4"/>
  <c r="G134" i="4"/>
  <c r="E134" i="4" s="1"/>
  <c r="K97" i="5"/>
  <c r="K96" i="5"/>
  <c r="K98" i="5"/>
  <c r="K99" i="5"/>
  <c r="K100" i="5"/>
  <c r="K101" i="5"/>
  <c r="K44" i="5"/>
  <c r="K43" i="5"/>
  <c r="K45" i="5"/>
  <c r="K42" i="5"/>
  <c r="K47" i="5"/>
  <c r="G141" i="4"/>
  <c r="E141" i="4" s="1"/>
  <c r="G139" i="4"/>
  <c r="E139" i="4" s="1"/>
  <c r="G146" i="4"/>
  <c r="G147" i="4"/>
  <c r="C4" i="2"/>
  <c r="F28" i="2" s="1"/>
  <c r="G145" i="4"/>
  <c r="G132" i="4"/>
  <c r="E132" i="4" s="1"/>
  <c r="G144" i="4"/>
  <c r="E68" i="4"/>
  <c r="C66" i="4"/>
  <c r="C67" i="4"/>
  <c r="C65" i="4"/>
  <c r="C69" i="4"/>
  <c r="E67" i="4"/>
  <c r="C64" i="4"/>
  <c r="E65" i="4"/>
  <c r="E66" i="4"/>
  <c r="E64" i="4"/>
  <c r="C68" i="4"/>
  <c r="E107" i="4"/>
  <c r="F107" i="4" s="1"/>
  <c r="D117" i="4"/>
  <c r="F117" i="4" s="1"/>
  <c r="D115" i="4"/>
  <c r="F115" i="4" s="1"/>
  <c r="D118" i="4"/>
  <c r="F118" i="4" s="1"/>
  <c r="D116" i="4"/>
  <c r="F116" i="4" s="1"/>
  <c r="D113" i="4"/>
  <c r="F113" i="4" s="1"/>
  <c r="D114" i="4"/>
  <c r="F114" i="4" s="1"/>
  <c r="D60" i="4"/>
  <c r="F60" i="4" s="1"/>
  <c r="B23" i="7"/>
  <c r="G66" i="4"/>
  <c r="H66" i="4" s="1"/>
  <c r="G67" i="4"/>
  <c r="H67" i="4" s="1"/>
  <c r="G65" i="4"/>
  <c r="H65" i="4" s="1"/>
  <c r="G64" i="4"/>
  <c r="H64" i="4" s="1"/>
  <c r="G69" i="4"/>
  <c r="H69" i="4" s="1"/>
  <c r="G68" i="4"/>
  <c r="H68" i="4" s="1"/>
  <c r="C63" i="5"/>
  <c r="D63" i="5" s="1"/>
  <c r="C51" i="5"/>
  <c r="D51" i="5" s="1"/>
  <c r="C108" i="5"/>
  <c r="D61" i="4"/>
  <c r="F61" i="4" s="1"/>
  <c r="D56" i="4"/>
  <c r="F56" i="4" s="1"/>
  <c r="D57" i="4"/>
  <c r="F57" i="4" s="1"/>
  <c r="D58" i="4"/>
  <c r="F58" i="4" s="1"/>
  <c r="D59" i="4"/>
  <c r="F59" i="4" s="1"/>
  <c r="I43" i="4"/>
  <c r="J43" i="4" s="1"/>
  <c r="I66" i="4"/>
  <c r="J66" i="4" s="1"/>
  <c r="G110" i="4"/>
  <c r="H110" i="4" s="1"/>
  <c r="E110" i="4"/>
  <c r="F110" i="4" s="1"/>
  <c r="I77" i="4"/>
  <c r="J77" i="4" s="1"/>
  <c r="I76" i="4"/>
  <c r="J76" i="4" s="1"/>
  <c r="I68" i="4"/>
  <c r="J68" i="4" s="1"/>
  <c r="I67" i="4"/>
  <c r="J67" i="4" s="1"/>
  <c r="I64" i="4"/>
  <c r="J64" i="4" s="1"/>
  <c r="I88" i="4"/>
  <c r="J88" i="4" s="1"/>
  <c r="I90" i="4"/>
  <c r="J90" i="4" s="1"/>
  <c r="I74" i="4"/>
  <c r="J74" i="4" s="1"/>
  <c r="I91" i="4"/>
  <c r="J91" i="4" s="1"/>
  <c r="I93" i="4"/>
  <c r="J93" i="4" s="1"/>
  <c r="I65" i="4"/>
  <c r="J65" i="4" s="1"/>
  <c r="I73" i="4"/>
  <c r="J73" i="4" s="1"/>
  <c r="I69" i="4"/>
  <c r="J69" i="4" s="1"/>
  <c r="I92" i="4"/>
  <c r="J92" i="4" s="1"/>
  <c r="I72" i="4"/>
  <c r="J72" i="4" s="1"/>
  <c r="I75" i="4"/>
  <c r="J75" i="4" s="1"/>
  <c r="H170" i="4"/>
  <c r="D43" i="4"/>
  <c r="F43" i="4" s="1"/>
  <c r="G185" i="4"/>
  <c r="G168" i="4"/>
  <c r="G182" i="4"/>
  <c r="C179" i="4"/>
  <c r="F179" i="4" s="1"/>
  <c r="G171" i="4"/>
  <c r="G162" i="4"/>
  <c r="G165" i="4"/>
  <c r="G159" i="4"/>
  <c r="I101" i="5"/>
  <c r="I82" i="5"/>
  <c r="I84" i="5"/>
  <c r="I42" i="5"/>
  <c r="R38" i="1"/>
  <c r="J41" i="1"/>
  <c r="R41" i="1" s="1"/>
  <c r="E72" i="4"/>
  <c r="F72" i="4" s="1"/>
  <c r="C36" i="4"/>
  <c r="F36" i="4" s="1"/>
  <c r="E69" i="4"/>
  <c r="C33" i="4"/>
  <c r="F33" i="4" s="1"/>
  <c r="E77" i="4"/>
  <c r="F77" i="4" s="1"/>
  <c r="E76" i="4"/>
  <c r="F76" i="4" s="1"/>
  <c r="E75" i="4"/>
  <c r="F75" i="4" s="1"/>
  <c r="E74" i="4"/>
  <c r="F74" i="4" s="1"/>
  <c r="E73" i="4"/>
  <c r="F73" i="4" s="1"/>
  <c r="C96" i="4"/>
  <c r="F96" i="4" s="1"/>
  <c r="C126" i="4"/>
  <c r="F126" i="4" s="1"/>
  <c r="C26" i="4"/>
  <c r="C25" i="4"/>
  <c r="E25" i="4"/>
  <c r="C125" i="4"/>
  <c r="F125" i="4" s="1"/>
  <c r="C51" i="4"/>
  <c r="C50" i="4"/>
  <c r="F50" i="4" s="1"/>
  <c r="C24" i="4"/>
  <c r="C48" i="4"/>
  <c r="F48" i="4" s="1"/>
  <c r="C124" i="4"/>
  <c r="F124" i="4" s="1"/>
  <c r="C123" i="4"/>
  <c r="F123" i="4" s="1"/>
  <c r="E26" i="4"/>
  <c r="C121" i="4"/>
  <c r="F121" i="4" s="1"/>
  <c r="D102" i="4"/>
  <c r="F102" i="4" s="1"/>
  <c r="C45" i="4"/>
  <c r="F45" i="4" s="1"/>
  <c r="E24" i="4"/>
  <c r="D83" i="4"/>
  <c r="F83" i="4" s="1"/>
  <c r="C53" i="4"/>
  <c r="F53" i="4" s="1"/>
  <c r="C42" i="4"/>
  <c r="F42" i="4" s="1"/>
  <c r="C29" i="4"/>
  <c r="F29" i="4" s="1"/>
  <c r="C82" i="4"/>
  <c r="F82" i="4" s="1"/>
  <c r="E52" i="4"/>
  <c r="F52" i="4" s="1"/>
  <c r="C41" i="4"/>
  <c r="F41" i="4" s="1"/>
  <c r="C28" i="4"/>
  <c r="D51" i="4"/>
  <c r="C40" i="4"/>
  <c r="F40" i="4" s="1"/>
  <c r="C27" i="4"/>
  <c r="E28" i="4"/>
  <c r="E27" i="4"/>
  <c r="C49" i="4"/>
  <c r="F49" i="4" s="1"/>
  <c r="C122" i="4"/>
  <c r="F122" i="4" s="1"/>
  <c r="G27" i="4"/>
  <c r="H27" i="4" s="1"/>
  <c r="G73" i="4"/>
  <c r="H73" i="4" s="1"/>
  <c r="G36" i="4"/>
  <c r="H36" i="4" s="1"/>
  <c r="G74" i="4"/>
  <c r="H74" i="4" s="1"/>
  <c r="G72" i="4"/>
  <c r="H72" i="4" s="1"/>
  <c r="G115" i="4"/>
  <c r="H115" i="4" s="1"/>
  <c r="G33" i="4"/>
  <c r="H33" i="4" s="1"/>
  <c r="G77" i="4"/>
  <c r="H77" i="4" s="1"/>
  <c r="G76" i="4"/>
  <c r="H76" i="4" s="1"/>
  <c r="G75" i="4"/>
  <c r="H75" i="4" s="1"/>
  <c r="B25" i="7"/>
  <c r="B32" i="7"/>
  <c r="B31" i="7"/>
  <c r="B22" i="7"/>
  <c r="B24" i="7"/>
  <c r="B27" i="7"/>
  <c r="B34" i="7"/>
  <c r="B30" i="7"/>
  <c r="B28" i="7"/>
  <c r="B21" i="7"/>
  <c r="R40" i="1"/>
  <c r="R39" i="1"/>
  <c r="G25" i="4"/>
  <c r="H25" i="4" s="1"/>
  <c r="B11" i="4"/>
  <c r="B13" i="4" s="1"/>
  <c r="B14" i="4" s="1"/>
  <c r="G24" i="4"/>
  <c r="H24" i="4" s="1"/>
  <c r="G28" i="4"/>
  <c r="H28" i="4" s="1"/>
  <c r="G59" i="4"/>
  <c r="H59" i="4" s="1"/>
  <c r="G51" i="4"/>
  <c r="H51" i="4" s="1"/>
  <c r="G26" i="4"/>
  <c r="H26" i="4" s="1"/>
  <c r="G29" i="4"/>
  <c r="H29" i="4" s="1"/>
  <c r="C33" i="7"/>
  <c r="C24" i="7"/>
  <c r="C28" i="7"/>
  <c r="C34" i="7"/>
  <c r="C21" i="7"/>
  <c r="C32" i="7"/>
  <c r="C23" i="7"/>
  <c r="C25" i="7"/>
  <c r="C30" i="7"/>
  <c r="C27" i="7"/>
  <c r="C29" i="7"/>
  <c r="C22" i="7"/>
  <c r="C26" i="7"/>
  <c r="C31" i="7"/>
  <c r="B26" i="7"/>
  <c r="B33" i="7"/>
  <c r="K7" i="1"/>
  <c r="J7" i="1"/>
  <c r="B10" i="4"/>
  <c r="G96" i="4"/>
  <c r="H96" i="4" s="1"/>
  <c r="G83" i="4"/>
  <c r="H83" i="4" s="1"/>
  <c r="G123" i="4"/>
  <c r="H123" i="4" s="1"/>
  <c r="G114" i="4"/>
  <c r="H114" i="4" s="1"/>
  <c r="G43" i="4"/>
  <c r="H43" i="4" s="1"/>
  <c r="G100" i="4"/>
  <c r="H100" i="4" s="1"/>
  <c r="G56" i="4"/>
  <c r="H56" i="4" s="1"/>
  <c r="G117" i="4"/>
  <c r="H117" i="4" s="1"/>
  <c r="G48" i="4"/>
  <c r="H48" i="4" s="1"/>
  <c r="G92" i="4"/>
  <c r="H92" i="4" s="1"/>
  <c r="G116" i="4"/>
  <c r="H116" i="4" s="1"/>
  <c r="G126" i="4"/>
  <c r="H126" i="4" s="1"/>
  <c r="G122" i="4"/>
  <c r="H122" i="4" s="1"/>
  <c r="G45" i="4"/>
  <c r="H45" i="4" s="1"/>
  <c r="G52" i="4"/>
  <c r="H52" i="4" s="1"/>
  <c r="G124" i="4"/>
  <c r="H124" i="4" s="1"/>
  <c r="G60" i="4"/>
  <c r="H60" i="4" s="1"/>
  <c r="G61" i="4"/>
  <c r="H61" i="4" s="1"/>
  <c r="G102" i="4"/>
  <c r="H102" i="4" s="1"/>
  <c r="G85" i="4"/>
  <c r="H85" i="4" s="1"/>
  <c r="G121" i="4"/>
  <c r="H121" i="4" s="1"/>
  <c r="G49" i="4"/>
  <c r="H49" i="4" s="1"/>
  <c r="G58" i="4"/>
  <c r="H58" i="4" s="1"/>
  <c r="G84" i="4"/>
  <c r="H84" i="4" s="1"/>
  <c r="G80" i="4"/>
  <c r="H80" i="4" s="1"/>
  <c r="G81" i="4"/>
  <c r="H81" i="4" s="1"/>
  <c r="G91" i="4"/>
  <c r="H91" i="4" s="1"/>
  <c r="G101" i="4"/>
  <c r="H101" i="4" s="1"/>
  <c r="G37" i="4"/>
  <c r="H37" i="4" s="1"/>
  <c r="G44" i="4"/>
  <c r="H44" i="4" s="1"/>
  <c r="G35" i="4"/>
  <c r="H35" i="4" s="1"/>
  <c r="G104" i="4"/>
  <c r="H104" i="4" s="1"/>
  <c r="G88" i="4"/>
  <c r="H88" i="4" s="1"/>
  <c r="G89" i="4"/>
  <c r="H89" i="4" s="1"/>
  <c r="G34" i="4"/>
  <c r="H34" i="4" s="1"/>
  <c r="G99" i="4"/>
  <c r="H99" i="4" s="1"/>
  <c r="G93" i="4"/>
  <c r="H93" i="4" s="1"/>
  <c r="G32" i="4"/>
  <c r="H32" i="4" s="1"/>
  <c r="G41" i="4"/>
  <c r="H41" i="4" s="1"/>
  <c r="G103" i="4"/>
  <c r="H103" i="4" s="1"/>
  <c r="G90" i="4"/>
  <c r="H90" i="4" s="1"/>
  <c r="P12" i="1"/>
  <c r="G40" i="4"/>
  <c r="H40" i="4" s="1"/>
  <c r="G113" i="4"/>
  <c r="H113" i="4" s="1"/>
  <c r="G125" i="4"/>
  <c r="H125" i="4" s="1"/>
  <c r="G42" i="4"/>
  <c r="H42" i="4" s="1"/>
  <c r="G82" i="4"/>
  <c r="H82" i="4" s="1"/>
  <c r="G118" i="4"/>
  <c r="H118" i="4" s="1"/>
  <c r="C88" i="4"/>
  <c r="C99" i="4"/>
  <c r="F99" i="4" s="1"/>
  <c r="C91" i="4"/>
  <c r="C101" i="4"/>
  <c r="F101" i="4" s="1"/>
  <c r="D91" i="4"/>
  <c r="D88" i="4"/>
  <c r="C85" i="4"/>
  <c r="F85" i="4" s="1"/>
  <c r="E104" i="4"/>
  <c r="F104" i="4" s="1"/>
  <c r="C37" i="4"/>
  <c r="F37" i="4" s="1"/>
  <c r="E34" i="4"/>
  <c r="F34" i="4" s="1"/>
  <c r="D92" i="4"/>
  <c r="F92" i="4" s="1"/>
  <c r="C93" i="4"/>
  <c r="D90" i="4"/>
  <c r="C35" i="4"/>
  <c r="F35" i="4" s="1"/>
  <c r="C32" i="4"/>
  <c r="F32" i="4" s="1"/>
  <c r="C100" i="4"/>
  <c r="F100" i="4" s="1"/>
  <c r="C81" i="4"/>
  <c r="F81" i="4" s="1"/>
  <c r="C89" i="4"/>
  <c r="F89" i="4" s="1"/>
  <c r="C90" i="4"/>
  <c r="D93" i="4"/>
  <c r="C44" i="4"/>
  <c r="F44" i="4" s="1"/>
  <c r="C84" i="4"/>
  <c r="F84" i="4" s="1"/>
  <c r="C103" i="4"/>
  <c r="F103" i="4" s="1"/>
  <c r="C80" i="4"/>
  <c r="F80" i="4" s="1"/>
  <c r="G53" i="4"/>
  <c r="H53" i="4" s="1"/>
  <c r="G50" i="4"/>
  <c r="H50" i="4" s="1"/>
  <c r="G107" i="4"/>
  <c r="H107" i="4" s="1"/>
  <c r="G57" i="4"/>
  <c r="H57" i="4" s="1"/>
  <c r="M35" i="1"/>
  <c r="J12" i="1"/>
  <c r="J10" i="1"/>
  <c r="O7" i="1"/>
  <c r="J5" i="1"/>
  <c r="O12" i="1"/>
  <c r="N31" i="1" s="1"/>
  <c r="K12" i="1"/>
  <c r="P7" i="1"/>
  <c r="F29" i="7" l="1"/>
  <c r="G29" i="7" s="1"/>
  <c r="C28" i="1"/>
  <c r="N22" i="1" s="1"/>
  <c r="D25" i="1"/>
  <c r="E25" i="1" s="1"/>
  <c r="I97" i="5"/>
  <c r="I93" i="5"/>
  <c r="I100" i="5"/>
  <c r="K29" i="5"/>
  <c r="K108" i="5"/>
  <c r="D31" i="7"/>
  <c r="E31" i="7" s="1"/>
  <c r="D109" i="5"/>
  <c r="E109" i="5" s="1"/>
  <c r="F109" i="5" s="1"/>
  <c r="G109" i="5" s="1"/>
  <c r="K27" i="5"/>
  <c r="I47" i="5"/>
  <c r="K109" i="5"/>
  <c r="D84" i="5"/>
  <c r="E84" i="5" s="1"/>
  <c r="F84" i="5" s="1"/>
  <c r="G84" i="5" s="1"/>
  <c r="K20" i="5"/>
  <c r="D29" i="5"/>
  <c r="E29" i="5" s="1"/>
  <c r="F29" i="5" s="1"/>
  <c r="G29" i="5" s="1"/>
  <c r="I96" i="5"/>
  <c r="K13" i="1"/>
  <c r="K14" i="1"/>
  <c r="K17" i="1"/>
  <c r="K15" i="1"/>
  <c r="K16" i="1"/>
  <c r="I15" i="5"/>
  <c r="I52" i="5"/>
  <c r="D108" i="5"/>
  <c r="E108" i="5" s="1"/>
  <c r="F108" i="5" s="1"/>
  <c r="G108" i="5" s="1"/>
  <c r="D10" i="5"/>
  <c r="E10" i="5" s="1"/>
  <c r="F10" i="5" s="1"/>
  <c r="G10" i="5" s="1"/>
  <c r="K83" i="5"/>
  <c r="D106" i="5"/>
  <c r="E106" i="5" s="1"/>
  <c r="F106" i="5" s="1"/>
  <c r="G106" i="5" s="1"/>
  <c r="I44" i="5"/>
  <c r="I69" i="5"/>
  <c r="D14" i="5"/>
  <c r="E14" i="5" s="1"/>
  <c r="F14" i="5" s="1"/>
  <c r="G14" i="5" s="1"/>
  <c r="I19" i="5"/>
  <c r="K71" i="5"/>
  <c r="K36" i="5"/>
  <c r="K15" i="5"/>
  <c r="K23" i="5"/>
  <c r="K74" i="5"/>
  <c r="D104" i="5"/>
  <c r="E104" i="5" s="1"/>
  <c r="F104" i="5" s="1"/>
  <c r="G104" i="5" s="1"/>
  <c r="D87" i="5"/>
  <c r="E87" i="5" s="1"/>
  <c r="F87" i="5" s="1"/>
  <c r="G87" i="5" s="1"/>
  <c r="K82" i="5"/>
  <c r="K37" i="5"/>
  <c r="I39" i="5"/>
  <c r="I12" i="5"/>
  <c r="I104" i="5"/>
  <c r="I35" i="5"/>
  <c r="I21" i="5"/>
  <c r="I63" i="5"/>
  <c r="I14" i="5"/>
  <c r="K70" i="5"/>
  <c r="K21" i="5"/>
  <c r="K39" i="5"/>
  <c r="K77" i="5"/>
  <c r="D12" i="5"/>
  <c r="E12" i="5" s="1"/>
  <c r="F12" i="5" s="1"/>
  <c r="G12" i="5" s="1"/>
  <c r="I20" i="5"/>
  <c r="I51" i="5"/>
  <c r="K105" i="5"/>
  <c r="D26" i="5"/>
  <c r="E26" i="5" s="1"/>
  <c r="F26" i="5" s="1"/>
  <c r="G26" i="5" s="1"/>
  <c r="D85" i="5"/>
  <c r="E85" i="5" s="1"/>
  <c r="F85" i="5" s="1"/>
  <c r="G85" i="5" s="1"/>
  <c r="I60" i="5"/>
  <c r="I68" i="5"/>
  <c r="I61" i="5"/>
  <c r="I38" i="5"/>
  <c r="D30" i="5"/>
  <c r="E30" i="5" s="1"/>
  <c r="F30" i="5" s="1"/>
  <c r="G30" i="5" s="1"/>
  <c r="D13" i="5"/>
  <c r="E13" i="5" s="1"/>
  <c r="F13" i="5" s="1"/>
  <c r="G13" i="5" s="1"/>
  <c r="I70" i="5"/>
  <c r="I74" i="5"/>
  <c r="I77" i="5"/>
  <c r="I79" i="5"/>
  <c r="K67" i="5"/>
  <c r="K75" i="5"/>
  <c r="K28" i="5"/>
  <c r="K30" i="5"/>
  <c r="K38" i="5"/>
  <c r="K69" i="5"/>
  <c r="D107" i="5"/>
  <c r="E107" i="5" s="1"/>
  <c r="D86" i="5"/>
  <c r="E86" i="5" s="1"/>
  <c r="F86" i="5" s="1"/>
  <c r="G86" i="5" s="1"/>
  <c r="I107" i="5"/>
  <c r="I46" i="5"/>
  <c r="I90" i="5"/>
  <c r="I106" i="5"/>
  <c r="I53" i="5"/>
  <c r="I99" i="5"/>
  <c r="I13" i="5"/>
  <c r="I18" i="5"/>
  <c r="I29" i="5"/>
  <c r="I10" i="5"/>
  <c r="I98" i="5"/>
  <c r="I23" i="5"/>
  <c r="I11" i="5"/>
  <c r="I59" i="5"/>
  <c r="I105" i="5"/>
  <c r="I45" i="5"/>
  <c r="K104" i="5"/>
  <c r="K34" i="5"/>
  <c r="K68" i="5"/>
  <c r="D27" i="5"/>
  <c r="E27" i="5" s="1"/>
  <c r="F27" i="5" s="1"/>
  <c r="G27" i="5" s="1"/>
  <c r="D11" i="5"/>
  <c r="E11" i="5" s="1"/>
  <c r="F11" i="5" s="1"/>
  <c r="G11" i="5" s="1"/>
  <c r="I28" i="5"/>
  <c r="I58" i="5"/>
  <c r="I109" i="5"/>
  <c r="D31" i="5"/>
  <c r="E31" i="5" s="1"/>
  <c r="F31" i="5" s="1"/>
  <c r="G31" i="5" s="1"/>
  <c r="I55" i="5"/>
  <c r="I62" i="5"/>
  <c r="I108" i="5"/>
  <c r="I27" i="5"/>
  <c r="I22" i="5"/>
  <c r="K86" i="5"/>
  <c r="K19" i="5"/>
  <c r="K84" i="5"/>
  <c r="K76" i="5"/>
  <c r="I67" i="5"/>
  <c r="I26" i="5"/>
  <c r="I34" i="5"/>
  <c r="I31" i="5"/>
  <c r="I75" i="5"/>
  <c r="K106" i="5"/>
  <c r="K31" i="5"/>
  <c r="K85" i="5"/>
  <c r="K22" i="5"/>
  <c r="K107" i="5"/>
  <c r="K78" i="5"/>
  <c r="D82" i="5"/>
  <c r="E82" i="5" s="1"/>
  <c r="F82" i="5" s="1"/>
  <c r="G82" i="5" s="1"/>
  <c r="I71" i="5"/>
  <c r="I30" i="5"/>
  <c r="I50" i="5"/>
  <c r="I37" i="5"/>
  <c r="I54" i="5"/>
  <c r="D105" i="5"/>
  <c r="E105" i="5" s="1"/>
  <c r="F105" i="5" s="1"/>
  <c r="G105" i="5" s="1"/>
  <c r="D15" i="5"/>
  <c r="E15" i="5" s="1"/>
  <c r="F15" i="5" s="1"/>
  <c r="G15" i="5" s="1"/>
  <c r="D83" i="5"/>
  <c r="E83" i="5" s="1"/>
  <c r="F83" i="5" s="1"/>
  <c r="G83" i="5" s="1"/>
  <c r="I86" i="5"/>
  <c r="I83" i="5"/>
  <c r="I36" i="5"/>
  <c r="I78" i="5"/>
  <c r="I66" i="5"/>
  <c r="I87" i="5"/>
  <c r="I43" i="5"/>
  <c r="I85" i="5"/>
  <c r="I76" i="5"/>
  <c r="K66" i="5"/>
  <c r="K35" i="5"/>
  <c r="K26" i="5"/>
  <c r="K18" i="5"/>
  <c r="D23" i="7"/>
  <c r="E23" i="7" s="1"/>
  <c r="F23" i="7"/>
  <c r="G23" i="7" s="1"/>
  <c r="E154" i="4"/>
  <c r="F154" i="4" s="1"/>
  <c r="H154" i="4"/>
  <c r="E136" i="4"/>
  <c r="F136" i="4" s="1"/>
  <c r="H136" i="4"/>
  <c r="F27" i="7"/>
  <c r="G27" i="7" s="1"/>
  <c r="E137" i="4"/>
  <c r="F137" i="4" s="1"/>
  <c r="H137" i="4"/>
  <c r="AA37" i="2"/>
  <c r="AA68" i="2"/>
  <c r="M62" i="2"/>
  <c r="M57" i="2"/>
  <c r="F86" i="2"/>
  <c r="F73" i="2"/>
  <c r="M8" i="2"/>
  <c r="F104" i="2"/>
  <c r="F97" i="2"/>
  <c r="AA78" i="2"/>
  <c r="F92" i="2"/>
  <c r="F47" i="2"/>
  <c r="AA12" i="2"/>
  <c r="F8" i="2"/>
  <c r="T13" i="2"/>
  <c r="F12" i="2"/>
  <c r="F102" i="2"/>
  <c r="F61" i="2"/>
  <c r="F89" i="2"/>
  <c r="F53" i="2"/>
  <c r="M36" i="2"/>
  <c r="AA28" i="2"/>
  <c r="F79" i="2"/>
  <c r="AA39" i="2"/>
  <c r="F38" i="2"/>
  <c r="T11" i="2"/>
  <c r="M42" i="2"/>
  <c r="M59" i="2"/>
  <c r="T35" i="2"/>
  <c r="AA27" i="2"/>
  <c r="F111" i="2"/>
  <c r="AA73" i="2"/>
  <c r="M10" i="2"/>
  <c r="AA45" i="2"/>
  <c r="F16" i="2"/>
  <c r="F91" i="2"/>
  <c r="AA23" i="2"/>
  <c r="F19" i="2"/>
  <c r="F20" i="2"/>
  <c r="M13" i="2"/>
  <c r="F85" i="2"/>
  <c r="M58" i="2"/>
  <c r="AA61" i="2"/>
  <c r="F65" i="2"/>
  <c r="M40" i="2"/>
  <c r="F52" i="2"/>
  <c r="M44" i="2"/>
  <c r="F24" i="2"/>
  <c r="AA53" i="2"/>
  <c r="AA75" i="2"/>
  <c r="F68" i="2"/>
  <c r="AA55" i="2"/>
  <c r="F107" i="2"/>
  <c r="M47" i="2"/>
  <c r="AA54" i="2"/>
  <c r="AA33" i="2"/>
  <c r="F59" i="2"/>
  <c r="AA31" i="2"/>
  <c r="F77" i="2"/>
  <c r="F99" i="2"/>
  <c r="F88" i="2"/>
  <c r="F105" i="2"/>
  <c r="T14" i="2"/>
  <c r="T20" i="2"/>
  <c r="AA11" i="2"/>
  <c r="AA63" i="2"/>
  <c r="AA34" i="2"/>
  <c r="AA36" i="2"/>
  <c r="F63" i="2"/>
  <c r="AA17" i="2"/>
  <c r="M33" i="2"/>
  <c r="M43" i="2"/>
  <c r="M29" i="2"/>
  <c r="M17" i="2"/>
  <c r="T34" i="2"/>
  <c r="AA26" i="2"/>
  <c r="F75" i="2"/>
  <c r="AA30" i="2"/>
  <c r="F34" i="2"/>
  <c r="M20" i="2"/>
  <c r="F41" i="2"/>
  <c r="M61" i="2"/>
  <c r="AA79" i="2"/>
  <c r="M16" i="2"/>
  <c r="AA51" i="2"/>
  <c r="AA77" i="2"/>
  <c r="T23" i="2"/>
  <c r="M23" i="2"/>
  <c r="M50" i="2"/>
  <c r="M60" i="2"/>
  <c r="F100" i="2"/>
  <c r="F93" i="2"/>
  <c r="F94" i="2"/>
  <c r="F78" i="2"/>
  <c r="M14" i="2"/>
  <c r="F27" i="2"/>
  <c r="F83" i="2"/>
  <c r="F26" i="2"/>
  <c r="AA57" i="2"/>
  <c r="AA24" i="2"/>
  <c r="AA48" i="2"/>
  <c r="T27" i="2"/>
  <c r="F62" i="2"/>
  <c r="M12" i="2"/>
  <c r="M9" i="2"/>
  <c r="AA41" i="2"/>
  <c r="F80" i="2"/>
  <c r="T15" i="2"/>
  <c r="M30" i="2"/>
  <c r="AA43" i="2"/>
  <c r="T24" i="2"/>
  <c r="F43" i="2"/>
  <c r="AA21" i="2"/>
  <c r="T26" i="2"/>
  <c r="F81" i="2"/>
  <c r="T41" i="2"/>
  <c r="F54" i="2"/>
  <c r="F30" i="2"/>
  <c r="T8" i="2"/>
  <c r="T28" i="2"/>
  <c r="F110" i="2"/>
  <c r="F109" i="2"/>
  <c r="M35" i="2"/>
  <c r="M24" i="2"/>
  <c r="M11" i="2"/>
  <c r="T29" i="2"/>
  <c r="T21" i="2"/>
  <c r="M52" i="2"/>
  <c r="AA66" i="2"/>
  <c r="F14" i="2"/>
  <c r="M34" i="2"/>
  <c r="F114" i="2"/>
  <c r="AA13" i="2"/>
  <c r="F103" i="2"/>
  <c r="F9" i="2"/>
  <c r="AA18" i="2"/>
  <c r="AA49" i="2"/>
  <c r="F32" i="2"/>
  <c r="T19" i="2"/>
  <c r="F48" i="2"/>
  <c r="AA9" i="2"/>
  <c r="M37" i="2"/>
  <c r="F108" i="2"/>
  <c r="F82" i="2"/>
  <c r="M54" i="2"/>
  <c r="M53" i="2"/>
  <c r="AA8" i="2"/>
  <c r="T9" i="2"/>
  <c r="AA72" i="2"/>
  <c r="F55" i="2"/>
  <c r="F33" i="2"/>
  <c r="T43" i="2"/>
  <c r="F90" i="2"/>
  <c r="M26" i="2"/>
  <c r="AA69" i="2"/>
  <c r="F44" i="2"/>
  <c r="F58" i="2"/>
  <c r="AA67" i="2"/>
  <c r="F115" i="2"/>
  <c r="F70" i="2"/>
  <c r="F116" i="2"/>
  <c r="T32" i="2"/>
  <c r="F42" i="2"/>
  <c r="AA22" i="2"/>
  <c r="AA16" i="2"/>
  <c r="F76" i="2"/>
  <c r="T30" i="2"/>
  <c r="AA62" i="2"/>
  <c r="F46" i="2"/>
  <c r="F13" i="2"/>
  <c r="F22" i="2"/>
  <c r="F35" i="2"/>
  <c r="AA76" i="2"/>
  <c r="M41" i="2"/>
  <c r="F66" i="2"/>
  <c r="F51" i="2"/>
  <c r="AA56" i="2"/>
  <c r="M25" i="2"/>
  <c r="M38" i="2"/>
  <c r="F71" i="2"/>
  <c r="M31" i="2"/>
  <c r="AA46" i="2"/>
  <c r="M46" i="2"/>
  <c r="T40" i="2"/>
  <c r="F64" i="2"/>
  <c r="AA70" i="2"/>
  <c r="AA52" i="2"/>
  <c r="AA74" i="2"/>
  <c r="M22" i="2"/>
  <c r="T16" i="2"/>
  <c r="F39" i="2"/>
  <c r="F45" i="2"/>
  <c r="M45" i="2"/>
  <c r="M21" i="2"/>
  <c r="F17" i="2"/>
  <c r="T38" i="2"/>
  <c r="F50" i="2"/>
  <c r="M27" i="2"/>
  <c r="F72" i="2"/>
  <c r="T31" i="2"/>
  <c r="T18" i="2"/>
  <c r="F98" i="2"/>
  <c r="AA65" i="2"/>
  <c r="F36" i="2"/>
  <c r="F37" i="2"/>
  <c r="F96" i="2"/>
  <c r="M56" i="2"/>
  <c r="AA29" i="2"/>
  <c r="AA19" i="2"/>
  <c r="AA44" i="2"/>
  <c r="F67" i="2"/>
  <c r="AA59" i="2"/>
  <c r="M39" i="2"/>
  <c r="AA50" i="2"/>
  <c r="F95" i="2"/>
  <c r="F31" i="2"/>
  <c r="AA32" i="2"/>
  <c r="F29" i="2"/>
  <c r="F106" i="2"/>
  <c r="T33" i="2"/>
  <c r="F57" i="2"/>
  <c r="AA42" i="2"/>
  <c r="F87" i="2"/>
  <c r="F60" i="2"/>
  <c r="AA10" i="2"/>
  <c r="AA58" i="2"/>
  <c r="AA15" i="2"/>
  <c r="AA47" i="2"/>
  <c r="AA71" i="2"/>
  <c r="AA40" i="2"/>
  <c r="T25" i="2"/>
  <c r="F21" i="2"/>
  <c r="AA35" i="2"/>
  <c r="F49" i="2"/>
  <c r="F113" i="2"/>
  <c r="F18" i="2"/>
  <c r="M55" i="2"/>
  <c r="AA25" i="2"/>
  <c r="T37" i="2"/>
  <c r="M18" i="2"/>
  <c r="F74" i="2"/>
  <c r="M28" i="2"/>
  <c r="F56" i="2"/>
  <c r="M32" i="2"/>
  <c r="F23" i="2"/>
  <c r="M51" i="2"/>
  <c r="T39" i="2"/>
  <c r="F11" i="2"/>
  <c r="T12" i="2"/>
  <c r="T10" i="2"/>
  <c r="T44" i="2"/>
  <c r="AA80" i="2"/>
  <c r="F101" i="2"/>
  <c r="AA20" i="2"/>
  <c r="F112" i="2"/>
  <c r="M19" i="2"/>
  <c r="T22" i="2"/>
  <c r="F84" i="2"/>
  <c r="AA14" i="2"/>
  <c r="AA60" i="2"/>
  <c r="F69" i="2"/>
  <c r="M15" i="2"/>
  <c r="T36" i="2"/>
  <c r="T42" i="2"/>
  <c r="F40" i="2"/>
  <c r="F15" i="2"/>
  <c r="M48" i="2"/>
  <c r="F10" i="2"/>
  <c r="F25" i="2"/>
  <c r="AA64" i="2"/>
  <c r="M49" i="2"/>
  <c r="T17" i="2"/>
  <c r="AA38" i="2"/>
  <c r="H135" i="4"/>
  <c r="F66" i="4"/>
  <c r="F68" i="4"/>
  <c r="F64" i="4"/>
  <c r="F67" i="4"/>
  <c r="F65" i="4"/>
  <c r="F69" i="4"/>
  <c r="D34" i="7"/>
  <c r="E34" i="7" s="1"/>
  <c r="F28" i="7"/>
  <c r="G28" i="7" s="1"/>
  <c r="F25" i="7"/>
  <c r="G25" i="7" s="1"/>
  <c r="D27" i="7"/>
  <c r="E27" i="7" s="1"/>
  <c r="F31" i="7"/>
  <c r="G31" i="7" s="1"/>
  <c r="D25" i="7"/>
  <c r="E25" i="7" s="1"/>
  <c r="E146" i="4"/>
  <c r="F146" i="4" s="1"/>
  <c r="H146" i="4"/>
  <c r="F21" i="7"/>
  <c r="G21" i="7" s="1"/>
  <c r="D22" i="7"/>
  <c r="E22" i="7" s="1"/>
  <c r="F24" i="7"/>
  <c r="G24" i="7" s="1"/>
  <c r="E188" i="4"/>
  <c r="F188" i="4" s="1"/>
  <c r="H188" i="4"/>
  <c r="C185" i="4"/>
  <c r="F185" i="4" s="1"/>
  <c r="H185" i="4"/>
  <c r="E147" i="4"/>
  <c r="F147" i="4" s="1"/>
  <c r="H145" i="4"/>
  <c r="E145" i="4"/>
  <c r="F145" i="4" s="1"/>
  <c r="E144" i="4"/>
  <c r="F144" i="4" s="1"/>
  <c r="L41" i="1"/>
  <c r="P9" i="1"/>
  <c r="H182" i="4"/>
  <c r="C182" i="4"/>
  <c r="F182" i="4" s="1"/>
  <c r="H175" i="4"/>
  <c r="H177" i="4"/>
  <c r="H179" i="4"/>
  <c r="E159" i="4"/>
  <c r="F159" i="4" s="1"/>
  <c r="H159" i="4"/>
  <c r="E162" i="4"/>
  <c r="F162" i="4" s="1"/>
  <c r="H162" i="4"/>
  <c r="E165" i="4"/>
  <c r="F165" i="4" s="1"/>
  <c r="H165" i="4"/>
  <c r="E168" i="4"/>
  <c r="F168" i="4" s="1"/>
  <c r="H168" i="4"/>
  <c r="H171" i="4"/>
  <c r="E171" i="4"/>
  <c r="F171" i="4" s="1"/>
  <c r="D29" i="7"/>
  <c r="E29" i="7" s="1"/>
  <c r="H144" i="4"/>
  <c r="H147" i="4"/>
  <c r="H134" i="4"/>
  <c r="F151" i="4"/>
  <c r="F90" i="4"/>
  <c r="D24" i="7"/>
  <c r="E24" i="7" s="1"/>
  <c r="C15" i="7"/>
  <c r="F34" i="7"/>
  <c r="G34" i="7" s="1"/>
  <c r="C12" i="7"/>
  <c r="C17" i="7"/>
  <c r="C18" i="7" s="1"/>
  <c r="F22" i="7"/>
  <c r="G22" i="7" s="1"/>
  <c r="D28" i="7"/>
  <c r="E28" i="7" s="1"/>
  <c r="F30" i="7"/>
  <c r="G30" i="7" s="1"/>
  <c r="D32" i="7"/>
  <c r="E32" i="7" s="1"/>
  <c r="D26" i="7"/>
  <c r="E26" i="7" s="1"/>
  <c r="B12" i="4"/>
  <c r="F26" i="7"/>
  <c r="G26" i="7" s="1"/>
  <c r="F141" i="4"/>
  <c r="F32" i="7"/>
  <c r="G32" i="7" s="1"/>
  <c r="D30" i="7"/>
  <c r="E30" i="7" s="1"/>
  <c r="D21" i="7"/>
  <c r="E21" i="7" s="1"/>
  <c r="F33" i="7"/>
  <c r="G33" i="7" s="1"/>
  <c r="D33" i="7"/>
  <c r="E33" i="7" s="1"/>
  <c r="H139" i="4"/>
  <c r="F132" i="4"/>
  <c r="H153" i="4"/>
  <c r="H152" i="4"/>
  <c r="H151" i="4"/>
  <c r="F152" i="4"/>
  <c r="H150" i="4"/>
  <c r="F153" i="4"/>
  <c r="F150" i="4"/>
  <c r="H132" i="4"/>
  <c r="F139" i="4"/>
  <c r="H141" i="4"/>
  <c r="F134" i="4"/>
  <c r="F107" i="5"/>
  <c r="G107" i="5" s="1"/>
  <c r="F27" i="4"/>
  <c r="F51" i="4"/>
  <c r="F91" i="4"/>
  <c r="F26" i="4"/>
  <c r="F24" i="4"/>
  <c r="N28" i="1"/>
  <c r="F25" i="4"/>
  <c r="F88" i="4"/>
  <c r="F93" i="4"/>
  <c r="F28" i="4"/>
  <c r="L37" i="1"/>
  <c r="M37" i="1"/>
  <c r="L36" i="1"/>
  <c r="M36" i="1"/>
  <c r="P8" i="1"/>
  <c r="K8" i="1"/>
  <c r="K9" i="1"/>
  <c r="N30" i="1"/>
  <c r="I21" i="1"/>
  <c r="N7" i="1"/>
  <c r="I19" i="1"/>
  <c r="N19" i="1"/>
  <c r="L35" i="1"/>
  <c r="N29" i="1"/>
  <c r="I7" i="1" l="1"/>
  <c r="I18" i="1"/>
  <c r="P40" i="1" s="1"/>
  <c r="I22" i="1"/>
  <c r="I20" i="1"/>
  <c r="S40" i="1" s="1"/>
  <c r="D28" i="1"/>
  <c r="E28" i="1" s="1"/>
  <c r="N18" i="1"/>
  <c r="O39" i="1"/>
  <c r="O40" i="1"/>
  <c r="O38" i="1"/>
  <c r="O41" i="1"/>
  <c r="N41" i="1"/>
  <c r="N36" i="1"/>
  <c r="P41" i="1"/>
  <c r="S39" i="1"/>
  <c r="S38" i="1"/>
  <c r="S41" i="1"/>
  <c r="Q38" i="1"/>
  <c r="Q40" i="1"/>
  <c r="Q39" i="1"/>
  <c r="Q41" i="1"/>
  <c r="N37" i="1"/>
  <c r="N35" i="1"/>
  <c r="P39" i="1" l="1"/>
  <c r="P38" i="1"/>
</calcChain>
</file>

<file path=xl/sharedStrings.xml><?xml version="1.0" encoding="utf-8"?>
<sst xmlns="http://schemas.openxmlformats.org/spreadsheetml/2006/main" count="1139" uniqueCount="675">
  <si>
    <t>Base/Gear Stats</t>
  </si>
  <si>
    <t>Paragon Levels</t>
  </si>
  <si>
    <t>Base</t>
  </si>
  <si>
    <t>New</t>
  </si>
  <si>
    <t>Change</t>
  </si>
  <si>
    <t>% Change</t>
  </si>
  <si>
    <t>Stat Gain/Loss</t>
  </si>
  <si>
    <t>DPS/point</t>
  </si>
  <si>
    <t>Mit/point</t>
  </si>
  <si>
    <t>eHP/point</t>
  </si>
  <si>
    <t>Points Added/Removed</t>
  </si>
  <si>
    <t>Level</t>
  </si>
  <si>
    <t>STR</t>
  </si>
  <si>
    <t>DEX</t>
  </si>
  <si>
    <t>INT</t>
  </si>
  <si>
    <t>VIT</t>
  </si>
  <si>
    <t>Life %</t>
  </si>
  <si>
    <t>Base Armor</t>
  </si>
  <si>
    <t>Armor %</t>
  </si>
  <si>
    <t>Base ResAll</t>
  </si>
  <si>
    <t>CC</t>
  </si>
  <si>
    <t>CHD</t>
  </si>
  <si>
    <t>Base W Speed</t>
  </si>
  <si>
    <t>IAS</t>
  </si>
  <si>
    <t>APS</t>
  </si>
  <si>
    <t>Min Damage</t>
  </si>
  <si>
    <t>DPS</t>
  </si>
  <si>
    <t>Max Damage</t>
  </si>
  <si>
    <t>MainHand</t>
  </si>
  <si>
    <t>Crit Hit</t>
  </si>
  <si>
    <t>Non-Crit Hit</t>
  </si>
  <si>
    <t xml:space="preserve"> Weapon Elemental Damage</t>
  </si>
  <si>
    <t>Armor vs ResAll</t>
  </si>
  <si>
    <t>Base Damage</t>
  </si>
  <si>
    <t>Min</t>
  </si>
  <si>
    <t>Max</t>
  </si>
  <si>
    <t>Avg</t>
  </si>
  <si>
    <t>Black Dmg</t>
  </si>
  <si>
    <t>1 Armor to ResALL</t>
  </si>
  <si>
    <t>Total Armor</t>
  </si>
  <si>
    <t>1 ResAll to Armor</t>
  </si>
  <si>
    <t>ResAll</t>
  </si>
  <si>
    <t>vs MLevel</t>
  </si>
  <si>
    <t>5 ResAll to 0.2% Armor</t>
  </si>
  <si>
    <t>Mitigation</t>
  </si>
  <si>
    <t>Life</t>
  </si>
  <si>
    <t>Buffs</t>
  </si>
  <si>
    <t>eHP</t>
  </si>
  <si>
    <t>Type</t>
  </si>
  <si>
    <t>Amount</t>
  </si>
  <si>
    <t>Damage</t>
  </si>
  <si>
    <t>Dam Gain</t>
  </si>
  <si>
    <t>Total Mit</t>
  </si>
  <si>
    <t>Mit Gain</t>
  </si>
  <si>
    <t>Total eHP</t>
  </si>
  <si>
    <t>eHP Gain</t>
  </si>
  <si>
    <t>Equiv Int</t>
  </si>
  <si>
    <t>Equiv CC</t>
  </si>
  <si>
    <t>Equiv CHD</t>
  </si>
  <si>
    <t>Equiv Avg</t>
  </si>
  <si>
    <t>Equiv %Elem</t>
  </si>
  <si>
    <t>Dodge Chance</t>
  </si>
  <si>
    <t>% Armor</t>
  </si>
  <si>
    <t>Toughness</t>
  </si>
  <si>
    <t>% Resist All</t>
  </si>
  <si>
    <t>% Damage Red</t>
  </si>
  <si>
    <t>% Type Buff</t>
  </si>
  <si>
    <t>% Additive Buff</t>
  </si>
  <si>
    <t>% Multi Buff</t>
  </si>
  <si>
    <t>Total:</t>
  </si>
  <si>
    <t>Base Weapon Speed</t>
  </si>
  <si>
    <t>Tick/Speed Coefficient 1</t>
  </si>
  <si>
    <t>Tick/Speed Coefficient 2</t>
  </si>
  <si>
    <t>Tick/Speed Coefficient 3</t>
  </si>
  <si>
    <t>Tick/Speed Coefficient 1.5</t>
  </si>
  <si>
    <t>Min APS</t>
  </si>
  <si>
    <t>Max APS</t>
  </si>
  <si>
    <t>Tick/s</t>
  </si>
  <si>
    <t>Length/t</t>
  </si>
  <si>
    <t>Frames/t</t>
  </si>
  <si>
    <t>IAS to BP</t>
  </si>
  <si>
    <t>Cooldown Reduction</t>
  </si>
  <si>
    <t>Maximum Rolls</t>
  </si>
  <si>
    <t>Remaining</t>
  </si>
  <si>
    <t>Legendary</t>
  </si>
  <si>
    <t>Rare</t>
  </si>
  <si>
    <t>Equiped</t>
  </si>
  <si>
    <t>Modifier</t>
  </si>
  <si>
    <t>Paragon</t>
  </si>
  <si>
    <t>Head Gem</t>
  </si>
  <si>
    <t>Head</t>
  </si>
  <si>
    <t>Shoulder</t>
  </si>
  <si>
    <t>Neck</t>
  </si>
  <si>
    <t>Glove</t>
  </si>
  <si>
    <t>Chest</t>
  </si>
  <si>
    <t>Bracer</t>
  </si>
  <si>
    <t>Ring1</t>
  </si>
  <si>
    <t>Ring2</t>
  </si>
  <si>
    <t>Belt</t>
  </si>
  <si>
    <t>Weapon</t>
  </si>
  <si>
    <t>Boots</t>
  </si>
  <si>
    <t>Offhand</t>
  </si>
  <si>
    <t>Net:</t>
  </si>
  <si>
    <t>Base CD</t>
  </si>
  <si>
    <t>Effective CD</t>
  </si>
  <si>
    <t>Cost Reduction</t>
  </si>
  <si>
    <t>Skill Damage</t>
  </si>
  <si>
    <t>Additive %</t>
  </si>
  <si>
    <t>Multiplicative %</t>
  </si>
  <si>
    <t>CC Buff</t>
  </si>
  <si>
    <t>IAS Buff</t>
  </si>
  <si>
    <t>Weapon Damage/Cast</t>
  </si>
  <si>
    <t>Base Wep Speed</t>
  </si>
  <si>
    <t>DoT/Cast</t>
  </si>
  <si>
    <t>Base IAS</t>
  </si>
  <si>
    <t>Elite %</t>
  </si>
  <si>
    <t>Non-Stacking DoT/s</t>
  </si>
  <si>
    <t>CoolDown Red</t>
  </si>
  <si>
    <t>Area Damage</t>
  </si>
  <si>
    <t>Area Damage on Secondaries</t>
  </si>
  <si>
    <t>eDPS</t>
  </si>
  <si>
    <t>Cold Skill %</t>
  </si>
  <si>
    <t>Multiplier</t>
  </si>
  <si>
    <t>Fire Skill %</t>
  </si>
  <si>
    <t>eDPs vs Elite</t>
  </si>
  <si>
    <t>Targets:</t>
  </si>
  <si>
    <t>Multi vs Elite</t>
  </si>
  <si>
    <t>Skill</t>
  </si>
  <si>
    <t>DoT</t>
  </si>
  <si>
    <t>% Reduction</t>
  </si>
  <si>
    <t>LoH</t>
  </si>
  <si>
    <t>Cooldown Red</t>
  </si>
  <si>
    <t>Proc Rate</t>
  </si>
  <si>
    <t>Proc 2</t>
  </si>
  <si>
    <t>Cooldown</t>
  </si>
  <si>
    <t>Secondary</t>
  </si>
  <si>
    <t>Targets</t>
  </si>
  <si>
    <t>DoT Length</t>
  </si>
  <si>
    <t>Tick Rate</t>
  </si>
  <si>
    <t>Tick Coef</t>
  </si>
  <si>
    <t>Speed Coef</t>
  </si>
  <si>
    <t>Buff</t>
  </si>
  <si>
    <t>Debuff</t>
  </si>
  <si>
    <t>Notes</t>
  </si>
  <si>
    <t>Mana Cost</t>
  </si>
  <si>
    <t>Mana Regen</t>
  </si>
  <si>
    <t>Intelligence</t>
  </si>
  <si>
    <t>Buffed Intelligence</t>
  </si>
  <si>
    <t>Corpse Spiders</t>
  </si>
  <si>
    <t>Splinters</t>
  </si>
  <si>
    <t>Leaping Spiders</t>
  </si>
  <si>
    <t>Spider Queen</t>
  </si>
  <si>
    <t>Widowmakers</t>
  </si>
  <si>
    <t>Medusa Spiders</t>
  </si>
  <si>
    <t>Blazing Spiders</t>
  </si>
  <si>
    <t>Physical</t>
  </si>
  <si>
    <t>4 spiders, 54% each</t>
  </si>
  <si>
    <t>Leap up to 25y</t>
  </si>
  <si>
    <t>Poison</t>
  </si>
  <si>
    <t>Non-Stacking</t>
  </si>
  <si>
    <t>3 Mana per hit</t>
  </si>
  <si>
    <t>100% chance to slow 60% per hit</t>
  </si>
  <si>
    <t>Fire</t>
  </si>
  <si>
    <t>Firebomb</t>
  </si>
  <si>
    <t>8y AoE</t>
  </si>
  <si>
    <t>Flash Fire</t>
  </si>
  <si>
    <t>Bounces to 6 targets, -15% damage each bounce</t>
  </si>
  <si>
    <t>Roll the Bones</t>
  </si>
  <si>
    <t>Bounces 2 times</t>
  </si>
  <si>
    <t>Fire Pit</t>
  </si>
  <si>
    <t>AoE DoT at impact</t>
  </si>
  <si>
    <t>Pyrogeist</t>
  </si>
  <si>
    <t>Limit of 3 active</t>
  </si>
  <si>
    <t>Ghost Bomb</t>
  </si>
  <si>
    <t>Secondary AoE of 28y</t>
  </si>
  <si>
    <t>Plague of Toads</t>
  </si>
  <si>
    <t>3 Toads, random path</t>
  </si>
  <si>
    <t>Explosive Toads</t>
  </si>
  <si>
    <t>Piercing Toads</t>
  </si>
  <si>
    <t>Pierces on random path</t>
  </si>
  <si>
    <t>Rain of Toads</t>
  </si>
  <si>
    <t>Addling Toads</t>
  </si>
  <si>
    <t>15% chance to confuse for 4s</t>
  </si>
  <si>
    <t>Toad Affinity</t>
  </si>
  <si>
    <t>9 Mana per hit</t>
  </si>
  <si>
    <t>Poison Dart</t>
  </si>
  <si>
    <t>Hits 3 times</t>
  </si>
  <si>
    <t>Numbing Dart</t>
  </si>
  <si>
    <t>Slows 60% for 2s</t>
  </si>
  <si>
    <t>Spined Dart</t>
  </si>
  <si>
    <t>Flaming Dart</t>
  </si>
  <si>
    <t>Snake to the Face</t>
  </si>
  <si>
    <t>Grasp of the Dead</t>
  </si>
  <si>
    <t>60% slow</t>
  </si>
  <si>
    <t>Unbreakable Grasp</t>
  </si>
  <si>
    <t>Increase to 80% slow</t>
  </si>
  <si>
    <t>Groping Eels</t>
  </si>
  <si>
    <t>Death Is Life</t>
  </si>
  <si>
    <t>Killed targets have 10% chance to drop globe or summon dog</t>
  </si>
  <si>
    <t>Desperate Grasp</t>
  </si>
  <si>
    <t>Rain of Corpses</t>
  </si>
  <si>
    <t>Corpse rain adds 420% over 8s</t>
  </si>
  <si>
    <t>Channeling</t>
  </si>
  <si>
    <t>Firebats</t>
  </si>
  <si>
    <t>Dire Bats</t>
  </si>
  <si>
    <t>Increased range</t>
  </si>
  <si>
    <t>Vampire Bats</t>
  </si>
  <si>
    <t>Plague Bats</t>
  </si>
  <si>
    <t>Hungry Bats</t>
  </si>
  <si>
    <t>Cloud of Bats</t>
  </si>
  <si>
    <t>No channeling cost</t>
  </si>
  <si>
    <t>Homing</t>
  </si>
  <si>
    <t>425% +20% every second until 850% after 5s</t>
  </si>
  <si>
    <t>Haunt</t>
  </si>
  <si>
    <t>Cold</t>
  </si>
  <si>
    <t>Consuming Spirit</t>
  </si>
  <si>
    <t>Resentful Spirits</t>
  </si>
  <si>
    <t>Lingering Spirit</t>
  </si>
  <si>
    <t>Draining Spirit</t>
  </si>
  <si>
    <t>2 spirits per cast</t>
  </si>
  <si>
    <t>Spirit will linger 10s waiting for new target</t>
  </si>
  <si>
    <t>Returns 25 mana per second</t>
  </si>
  <si>
    <t>Locust Swarm</t>
  </si>
  <si>
    <t>Pestilence</t>
  </si>
  <si>
    <t>Devouring Swarm</t>
  </si>
  <si>
    <t>Cloud of Insects</t>
  </si>
  <si>
    <t>Diseased Swarm</t>
  </si>
  <si>
    <t>Searing Locusts</t>
  </si>
  <si>
    <t>100% chance to jump to 2 targets instead of 1</t>
  </si>
  <si>
    <t>Gain 25 mana per target affected</t>
  </si>
  <si>
    <t>Killed target leaves AoE of 75% over 3s</t>
  </si>
  <si>
    <t>Summon Zombie Dogs</t>
  </si>
  <si>
    <t>Rabid Dogs</t>
  </si>
  <si>
    <t>Life Link</t>
  </si>
  <si>
    <t>Burning Dogs</t>
  </si>
  <si>
    <t>Leeching Beasts</t>
  </si>
  <si>
    <t>Horrify</t>
  </si>
  <si>
    <t>Phobia</t>
  </si>
  <si>
    <t>Stalker</t>
  </si>
  <si>
    <t>Face of Death</t>
  </si>
  <si>
    <t>Frightening Aspect</t>
  </si>
  <si>
    <t>Ruthless Terror</t>
  </si>
  <si>
    <t>100% armor for 8s</t>
  </si>
  <si>
    <t>Gain 55 mana per target</t>
  </si>
  <si>
    <t>24y range</t>
  </si>
  <si>
    <t>Gain 20% move speed for 4s</t>
  </si>
  <si>
    <t>Fear for 6s</t>
  </si>
  <si>
    <t>Spirit Walk</t>
  </si>
  <si>
    <t>Move unhindered for 2s.  Ends upon taking 50% life in damage</t>
  </si>
  <si>
    <t>3s</t>
  </si>
  <si>
    <t>Gain 20% mana back</t>
  </si>
  <si>
    <t>AoE on end</t>
  </si>
  <si>
    <t>Jaunt</t>
  </si>
  <si>
    <t>Honored Guest</t>
  </si>
  <si>
    <t>Umbral Shock</t>
  </si>
  <si>
    <t>Severance</t>
  </si>
  <si>
    <t>Healing Journey</t>
  </si>
  <si>
    <t>DoT on walking through target</t>
  </si>
  <si>
    <t>Gain 14% life back</t>
  </si>
  <si>
    <t>Hex</t>
  </si>
  <si>
    <t>12s duration, hexed targets take 10% more damage</t>
  </si>
  <si>
    <t>Hedge Magic</t>
  </si>
  <si>
    <t>Jinx</t>
  </si>
  <si>
    <t>Angry Chicken</t>
  </si>
  <si>
    <t>Toad of Hugeness</t>
  </si>
  <si>
    <t>Unstable Form</t>
  </si>
  <si>
    <t>Perodic heal for 4954 life</t>
  </si>
  <si>
    <t>Transform into chicken for 2s, 12y AoE at end</t>
  </si>
  <si>
    <t>Killed target explodes for 8y AoE</t>
  </si>
  <si>
    <t>Soul Harvest</t>
  </si>
  <si>
    <t>Swallow your Soul</t>
  </si>
  <si>
    <t>Siphon</t>
  </si>
  <si>
    <t>Languish</t>
  </si>
  <si>
    <t>Soul to Waste</t>
  </si>
  <si>
    <t>Vengeful Spirit</t>
  </si>
  <si>
    <t>Gain and increase mana 5% per stack</t>
  </si>
  <si>
    <t>Heal 4954 per stack</t>
  </si>
  <si>
    <t>60s duration</t>
  </si>
  <si>
    <t>Sacrifice</t>
  </si>
  <si>
    <t>Physcial</t>
  </si>
  <si>
    <t>12y, Explode summoned dog</t>
  </si>
  <si>
    <t>Black Blood</t>
  </si>
  <si>
    <t>Next of Kin</t>
  </si>
  <si>
    <t>Pride</t>
  </si>
  <si>
    <t>For the Master</t>
  </si>
  <si>
    <t>Provoke the Pack</t>
  </si>
  <si>
    <t>60% for 8s</t>
  </si>
  <si>
    <t>35% of new dog</t>
  </si>
  <si>
    <t>60 mana for exploded dog</t>
  </si>
  <si>
    <t>Heal 16515 for exploded dog</t>
  </si>
  <si>
    <t>30% increased damage for 5s per dog exploded</t>
  </si>
  <si>
    <t>Mass Confusion</t>
  </si>
  <si>
    <t>Confuse targets for 12s, will fight for you</t>
  </si>
  <si>
    <t>Unstable Realm</t>
  </si>
  <si>
    <t>Devolution</t>
  </si>
  <si>
    <t>Mass Hysteria</t>
  </si>
  <si>
    <t>Paranoia</t>
  </si>
  <si>
    <t>Mass Hallucination</t>
  </si>
  <si>
    <t>50% chance of dog per killed target</t>
  </si>
  <si>
    <t>Up to 6 non-confused targets are stunned for 3s</t>
  </si>
  <si>
    <t>Zombie Charger</t>
  </si>
  <si>
    <t>Pile On</t>
  </si>
  <si>
    <t>Undeath</t>
  </si>
  <si>
    <t>Lumbering Cold</t>
  </si>
  <si>
    <t>Explosive Beast</t>
  </si>
  <si>
    <t>Zombie Bears</t>
  </si>
  <si>
    <t>Reanimates killed target for another charger for 360%.  Limit 2</t>
  </si>
  <si>
    <t>Burst on impact for 9y AoE</t>
  </si>
  <si>
    <t>3 Bears</t>
  </si>
  <si>
    <t>Spirit Barrage</t>
  </si>
  <si>
    <t>4 spirits</t>
  </si>
  <si>
    <t>The Spirit Is Willing</t>
  </si>
  <si>
    <t>Well of Souls</t>
  </si>
  <si>
    <t>Phantasm</t>
  </si>
  <si>
    <t>Phlebotomize</t>
  </si>
  <si>
    <t>Manitou</t>
  </si>
  <si>
    <t>Gain 12 mana per hit</t>
  </si>
  <si>
    <t>Additional 3 spirits seek out targets for 65%</t>
  </si>
  <si>
    <t>10y AoE, 3 max at one time</t>
  </si>
  <si>
    <t>4% chance to charm for 4s</t>
  </si>
  <si>
    <t>Hovers over your head and targets around you</t>
  </si>
  <si>
    <t>Acid Cloud</t>
  </si>
  <si>
    <t>DoT does not stack</t>
  </si>
  <si>
    <t>Acid Rain</t>
  </si>
  <si>
    <t>Lob Blob Bomb</t>
  </si>
  <si>
    <t>Slow Burn</t>
  </si>
  <si>
    <t>Kiss of Death</t>
  </si>
  <si>
    <t>Corpse Bomb</t>
  </si>
  <si>
    <t>24y AoE</t>
  </si>
  <si>
    <t>Spit cloud from caster</t>
  </si>
  <si>
    <t>Wall of Zombies</t>
  </si>
  <si>
    <t>28y line</t>
  </si>
  <si>
    <t>Barricade</t>
  </si>
  <si>
    <t>Unrelenting Grip</t>
  </si>
  <si>
    <t>Creepers</t>
  </si>
  <si>
    <t>Wrecking Crew</t>
  </si>
  <si>
    <t>Offensive Line</t>
  </si>
  <si>
    <t>Increased wall length</t>
  </si>
  <si>
    <t>Slow 60% for 5s</t>
  </si>
  <si>
    <t>Up to 3 zombies spawn from wall to attack for 25%</t>
  </si>
  <si>
    <t>Taunts enemies</t>
  </si>
  <si>
    <t>Knockback</t>
  </si>
  <si>
    <t>Piranhas</t>
  </si>
  <si>
    <t>Gargantuan</t>
  </si>
  <si>
    <t>Humongoid</t>
  </si>
  <si>
    <t>Wrathful Protector</t>
  </si>
  <si>
    <t>Big Stinker</t>
  </si>
  <si>
    <t>Bruiser</t>
  </si>
  <si>
    <t>Gains Cleave attack</t>
  </si>
  <si>
    <t>Lasts 15s, has knockback</t>
  </si>
  <si>
    <t>Enrages</t>
  </si>
  <si>
    <t>Periodic slam attack for 200% with 3s stun</t>
  </si>
  <si>
    <t>Big Bad Voodoo</t>
  </si>
  <si>
    <t>Jungle Drums</t>
  </si>
  <si>
    <t>Rain Dance</t>
  </si>
  <si>
    <t>Slam Dance</t>
  </si>
  <si>
    <t>Ghost Trance</t>
  </si>
  <si>
    <t>Boogie Man</t>
  </si>
  <si>
    <t>30s duration</t>
  </si>
  <si>
    <t>250 mana per second</t>
  </si>
  <si>
    <t>Heal 5% per second</t>
  </si>
  <si>
    <t>Enemies killed have a 50% to rise as zombie dogs</t>
  </si>
  <si>
    <t>Fetish Army</t>
  </si>
  <si>
    <t>5 fetishes attack for 180%/s. 20s duration</t>
  </si>
  <si>
    <t>Fetish Ambush</t>
  </si>
  <si>
    <t>Devoted Following</t>
  </si>
  <si>
    <t>Legion of Dagger</t>
  </si>
  <si>
    <t>Tiki Torchers</t>
  </si>
  <si>
    <t>Head Hunters</t>
  </si>
  <si>
    <t>8 fetishes</t>
  </si>
  <si>
    <t>2 casters who breath fire in a cone for 85%</t>
  </si>
  <si>
    <t>2 Hunters who shoot poison darts for 130% poison</t>
  </si>
  <si>
    <t>Blood Magic</t>
  </si>
  <si>
    <t>Max Mana</t>
  </si>
  <si>
    <t>Poison Skill %</t>
  </si>
  <si>
    <t>Physcial Skill %</t>
  </si>
  <si>
    <t>WD/Cast</t>
  </si>
  <si>
    <t>NS DoT/s</t>
  </si>
  <si>
    <t>Multi/Cast</t>
  </si>
  <si>
    <t>Bonus Skill %:</t>
  </si>
  <si>
    <r>
      <rPr>
        <b/>
        <sz val="11"/>
        <color theme="1"/>
        <rFont val="Calibri"/>
        <family val="2"/>
        <scheme val="minor"/>
      </rPr>
      <t>B</t>
    </r>
    <r>
      <rPr>
        <sz val="11"/>
        <color theme="1"/>
        <rFont val="Calibri"/>
        <family val="2"/>
        <scheme val="minor"/>
      </rPr>
      <t>ears</t>
    </r>
    <r>
      <rPr>
        <b/>
        <sz val="11"/>
        <color theme="1"/>
        <rFont val="Calibri"/>
        <family val="2"/>
        <scheme val="minor"/>
      </rPr>
      <t>O</t>
    </r>
    <r>
      <rPr>
        <sz val="11"/>
        <color theme="1"/>
        <rFont val="Calibri"/>
        <family val="2"/>
        <scheme val="minor"/>
      </rPr>
      <t>n</t>
    </r>
    <r>
      <rPr>
        <b/>
        <sz val="11"/>
        <color theme="1"/>
        <rFont val="Calibri"/>
        <family val="2"/>
        <scheme val="minor"/>
      </rPr>
      <t>T</t>
    </r>
    <r>
      <rPr>
        <sz val="11"/>
        <color theme="1"/>
        <rFont val="Calibri"/>
        <family val="2"/>
        <scheme val="minor"/>
      </rPr>
      <t>arget:</t>
    </r>
  </si>
  <si>
    <t>Weapon Damage % (For Calc)</t>
  </si>
  <si>
    <t>Multipliers (Buffed &amp; Spammed)</t>
  </si>
  <si>
    <t>User</t>
  </si>
  <si>
    <t>GI Kills per Second</t>
  </si>
  <si>
    <t>GF Health Globes/s</t>
  </si>
  <si>
    <t>Active Mana Regen</t>
  </si>
  <si>
    <t>Pierce the Veil</t>
  </si>
  <si>
    <t>Cost/s</t>
  </si>
  <si>
    <t>Cost/Cast</t>
  </si>
  <si>
    <t>Net Mana/s</t>
  </si>
  <si>
    <t>Max Casts</t>
  </si>
  <si>
    <t>Spam Time</t>
  </si>
  <si>
    <t>Legacy -Cost:</t>
  </si>
  <si>
    <t>LoH/Cast</t>
  </si>
  <si>
    <t>LoH/s</t>
  </si>
  <si>
    <t>GF Stacks (0-5)</t>
  </si>
  <si>
    <t>SH Stacks (0-5)</t>
  </si>
  <si>
    <t>Passives</t>
  </si>
  <si>
    <t>Circle of life</t>
  </si>
  <si>
    <t>Jungle Fortitude</t>
  </si>
  <si>
    <t>Spiritual Attunement</t>
  </si>
  <si>
    <t>Gruesome Feast</t>
  </si>
  <si>
    <t>Bad Medicine</t>
  </si>
  <si>
    <t>Blood Ritual</t>
  </si>
  <si>
    <t>Zombie Handler</t>
  </si>
  <si>
    <t>Fetish Sycophants</t>
  </si>
  <si>
    <t>Spirit Vessel</t>
  </si>
  <si>
    <t>Rush of Essence</t>
  </si>
  <si>
    <t>Vision Quest</t>
  </si>
  <si>
    <t>Fierce Loyalty</t>
  </si>
  <si>
    <t>Grave Injustice</t>
  </si>
  <si>
    <t>Tribal Rites</t>
  </si>
  <si>
    <t>Creeping Death</t>
  </si>
  <si>
    <t>Physical Attunement</t>
  </si>
  <si>
    <t>Midnight Feast</t>
  </si>
  <si>
    <t>30% chance of dog when enemy dies within 20y+PUR</t>
  </si>
  <si>
    <t>15% less damage for you and pets</t>
  </si>
  <si>
    <t>10% max mana, 1% max mana as regen</t>
  </si>
  <si>
    <t>10% max mana, 10% int for 15s.  5 stack max.</t>
  </si>
  <si>
    <t>Poison damage reduces enemy damage by 20% for 3s</t>
  </si>
  <si>
    <t>10% mana cost paid with life, 1% life per second</t>
  </si>
  <si>
    <t>20% more damage, 30% more mana costs</t>
  </si>
  <si>
    <t>Spirit Walk &amp; 15% life on death every 90s .  CD reduced by 2 on Spirit Walk, Horrify and Soul Harvest.</t>
  </si>
  <si>
    <t>100 mana over 10s for casting spirit spells</t>
  </si>
  <si>
    <t>30% more mana regen for 5s after casting a primary</t>
  </si>
  <si>
    <t>Pets gain 100% of your Thorns and Life Regen.</t>
  </si>
  <si>
    <t>1% life and mana, 1s CDR per enemy killed in 20y+PUR</t>
  </si>
  <si>
    <t>25% CDR for BBV, Mass Confusion, Fetish Army, Hex, Gargantuan &amp; Summon Zombie Dog</t>
  </si>
  <si>
    <t>DoT on Haunt &amp; Locust Swarm and debuff for Piranhas lasts "almost forever"</t>
  </si>
  <si>
    <t>66 Physical Resist per enemy within 20y+PUR</t>
  </si>
  <si>
    <t>1 extra dog, 50% increased damage for dogs &amp; gargantuan</t>
  </si>
  <si>
    <t>Jumps to additional targets in range. DoT is non-stacking</t>
  </si>
  <si>
    <t>If target dies, spririt jumps to new target. DoT is on-stacking</t>
  </si>
  <si>
    <t xml:space="preserve">Phantasms: </t>
  </si>
  <si>
    <t>Phantasm (3 Max)</t>
  </si>
  <si>
    <t>Phantasms:</t>
  </si>
  <si>
    <t>GI Procs/s</t>
  </si>
  <si>
    <t>Multi Added</t>
  </si>
  <si>
    <t>Quetalzcoatl</t>
  </si>
  <si>
    <t>Buff %</t>
  </si>
  <si>
    <t>Buffed</t>
  </si>
  <si>
    <t>Armor</t>
  </si>
  <si>
    <t>Resist All</t>
  </si>
  <si>
    <t>Monster Level</t>
  </si>
  <si>
    <t>Total Mitigation</t>
  </si>
  <si>
    <t>eHP Multiplier</t>
  </si>
  <si>
    <t>eHP/s</t>
  </si>
  <si>
    <t>Lifesteal/s</t>
  </si>
  <si>
    <t>Life/s</t>
  </si>
  <si>
    <t>Total Sustain/s</t>
  </si>
  <si>
    <t>Mlevel</t>
  </si>
  <si>
    <t>Armor Red</t>
  </si>
  <si>
    <t>ResAll Red</t>
  </si>
  <si>
    <t>EHP Multi</t>
  </si>
  <si>
    <t>Mit /w Red</t>
  </si>
  <si>
    <t>EHP Multi w/ Red</t>
  </si>
  <si>
    <t>Legacy CDR:</t>
  </si>
  <si>
    <t>Legacy +CC:</t>
  </si>
  <si>
    <t>Max 5 stacks.  LoH on 1st hit only.</t>
  </si>
  <si>
    <t>Introduction</t>
  </si>
  <si>
    <t>Instructions</t>
  </si>
  <si>
    <t>&gt;Only fill in cells that are have a light-gray background.  Like this  -------&gt;</t>
  </si>
  <si>
    <t>Modifying non-grayed cells may break the tool.</t>
  </si>
  <si>
    <t>&gt;Individual sheets are linked with the Sheet Stats tool.  Fill in the Sheet Stats page and then any other relevant fields in the individual tool sheets that apply.</t>
  </si>
  <si>
    <t>&gt;These tools work with averages.  Numbers achieved in game may vary due to random range variables.  The values provided by these tools represent the average that should be achieved over time.</t>
  </si>
  <si>
    <r>
      <rPr>
        <b/>
        <sz val="11"/>
        <color theme="1"/>
        <rFont val="Calibri"/>
        <family val="2"/>
        <scheme val="minor"/>
      </rPr>
      <t>eDPS Tool</t>
    </r>
    <r>
      <rPr>
        <sz val="11"/>
        <color theme="1"/>
        <rFont val="Calibri"/>
        <family val="2"/>
        <scheme val="minor"/>
      </rPr>
      <t xml:space="preserve">:
&gt;Calculated eDPS is for a single, primary target.  The targets field is included as some skills get stronger or weaker with multiple targets and assumes that all targets are within optimal range.  In most cases, you can assume that the resultant eDPS figure would be applied roughly equally to all targets.
&gt;Fill in your relevant character stats (Unbuffed DPS, APS, CC, CHD).
&gt;Fill in cells of the corresponding buffs that your build will have.  There is a table of values to reference to the left of the input fields.
&gt;The first set of values (in red) represent the damage done per cast and can be used in the upper inputs for the manual eDPS calculation.  Use this if your build involves alternating casts and you want to build your eDPS "by piece".  These values do not include all buffs (they are applied in the final calculation).
&gt;The second set of values is a quick calculation that includes all buff stats if the skills was to be cast exclusively, in a continuous manner.  The multiplier value is the muliple of your DPS the skill provides in damage per second.
</t>
    </r>
  </si>
  <si>
    <r>
      <rPr>
        <b/>
        <sz val="11"/>
        <color theme="1"/>
        <rFont val="Calibri"/>
        <family val="2"/>
        <scheme val="minor"/>
      </rPr>
      <t>Mit-Sustain Tool</t>
    </r>
    <r>
      <rPr>
        <sz val="11"/>
        <color theme="1"/>
        <rFont val="Calibri"/>
        <family val="2"/>
        <scheme val="minor"/>
      </rPr>
      <t>:
&gt;Fill in your relevant stats for armor, resistance and damage reduction.
&gt;Fill in the desired monster level (the lower section will show mitigation vs all monster levels 60 and up.
&gt;The eHP modifier value represents the value (in damage) of each point of life given the mitigation factor achieved by your stats.
&gt;The Total Sustain value represents the total amount of monster damage you are capable of healing/nullifying per second given your mitigation and the values you provide for shields, LoH, regeneration and lifesteal.</t>
    </r>
  </si>
  <si>
    <r>
      <rPr>
        <b/>
        <sz val="11"/>
        <color theme="1"/>
        <rFont val="Calibri"/>
        <family val="2"/>
        <scheme val="minor"/>
      </rPr>
      <t>Sheet Stats Tool</t>
    </r>
    <r>
      <rPr>
        <sz val="11"/>
        <color theme="1"/>
        <rFont val="Calibri"/>
        <family val="2"/>
        <scheme val="minor"/>
      </rPr>
      <t>:
&gt;Fill in your unbuffed stats (with or without paragon levels already applied) in the left most column.
&gt;If your weapon uses elemental damage (fire, cold, lightning, etc), provide the damage range of elemental damage affix in the relevant cells.
&gt;Use the per point and per paragon point section to see how adding or losing various stats will affect your character.  The "per point" values will update accordingly as you fill in each stat change field.</t>
    </r>
  </si>
  <si>
    <r>
      <rPr>
        <b/>
        <sz val="11"/>
        <color theme="1"/>
        <rFont val="Calibri"/>
        <family val="2"/>
        <scheme val="minor"/>
      </rPr>
      <t>Reductions Tool</t>
    </r>
    <r>
      <rPr>
        <sz val="11"/>
        <color theme="1"/>
        <rFont val="Calibri"/>
        <family val="2"/>
        <scheme val="minor"/>
      </rPr>
      <t>:
&gt;Fill in the "equipped" column with the stats of your current or planned gear.  The values to the left provide the currently known maximum values possible for legendary and rare items.
&gt;The resultant "Net" value at the bottom of the equipped column is the calculated value of your reduction.</t>
    </r>
  </si>
  <si>
    <r>
      <t>Breakpoints Tool</t>
    </r>
    <r>
      <rPr>
        <sz val="11"/>
        <color theme="1"/>
        <rFont val="Calibri"/>
        <family val="2"/>
        <scheme val="minor"/>
      </rPr>
      <t>:
&gt;The tables provide a listing APS values for most breakpoints at various tick/speed coefficients.  Tick/Speed 1 represents the breakpoints for basic casting actions.
&gt;Filling in your weapons base speed and your IAS value will provide a resultant APS value.  Once this is done, the "IAS to BP" field will show how much IAS is needed to reach the start of each breakpoint.</t>
    </r>
  </si>
  <si>
    <r>
      <rPr>
        <b/>
        <sz val="11"/>
        <color theme="1"/>
        <rFont val="Calibri"/>
        <family val="2"/>
        <scheme val="minor"/>
      </rPr>
      <t>Skill Info</t>
    </r>
    <r>
      <rPr>
        <sz val="11"/>
        <color theme="1"/>
        <rFont val="Calibri"/>
        <family val="2"/>
        <scheme val="minor"/>
      </rPr>
      <t>:
&gt;This sheet is a reference page that holds data values used for skills in all other sheets.
&gt;Do not modify the values in this sheet unless you are certain that the specific value is incorrect.</t>
    </r>
  </si>
  <si>
    <t>Commonly used Acronyms and Terms</t>
  </si>
  <si>
    <t>Damage Per Second</t>
  </si>
  <si>
    <t>Attacks Per Second</t>
  </si>
  <si>
    <t>Critical Hit Chance</t>
  </si>
  <si>
    <t>Critical Hit Damage</t>
  </si>
  <si>
    <t>Increased Attack Speed</t>
  </si>
  <si>
    <t>Life on Hit</t>
  </si>
  <si>
    <t>BP</t>
  </si>
  <si>
    <t>Breakpoint</t>
  </si>
  <si>
    <t>WD</t>
  </si>
  <si>
    <t>Weapon Damange %</t>
  </si>
  <si>
    <t>Damate over Time</t>
  </si>
  <si>
    <t>NS</t>
  </si>
  <si>
    <t>D3 Witch Doctor Tools</t>
  </si>
  <si>
    <r>
      <t xml:space="preserve">This collection of tools is intended to take some of the guesswork out of planning your witch doctor's build and what might be the best route for your upgrades, etc.  In it you will find:
</t>
    </r>
    <r>
      <rPr>
        <b/>
        <sz val="11"/>
        <color theme="1"/>
        <rFont val="Calibri"/>
        <family val="2"/>
        <scheme val="minor"/>
      </rPr>
      <t>eDPS Tool</t>
    </r>
    <r>
      <rPr>
        <sz val="11"/>
        <color theme="1"/>
        <rFont val="Calibri"/>
        <family val="2"/>
        <scheme val="minor"/>
      </rPr>
      <t xml:space="preserve">:  Calculates the damage you can do with the majority of witch doctor skills.
</t>
    </r>
    <r>
      <rPr>
        <b/>
        <sz val="11"/>
        <color theme="1"/>
        <rFont val="Calibri"/>
        <family val="2"/>
        <scheme val="minor"/>
      </rPr>
      <t>Mana-LoH Tool</t>
    </r>
    <r>
      <rPr>
        <sz val="11"/>
        <color theme="1"/>
        <rFont val="Calibri"/>
        <family val="2"/>
        <scheme val="minor"/>
      </rPr>
      <t xml:space="preserve">:  Calculates the amount of APoC and LoH returns you can generate with the majority of witch doctor skills.
</t>
    </r>
    <r>
      <rPr>
        <b/>
        <sz val="11"/>
        <color theme="1"/>
        <rFont val="Calibri"/>
        <family val="2"/>
        <scheme val="minor"/>
      </rPr>
      <t>Mit-Sustain Tool</t>
    </r>
    <r>
      <rPr>
        <sz val="11"/>
        <color theme="1"/>
        <rFont val="Calibri"/>
        <family val="2"/>
        <scheme val="minor"/>
      </rPr>
      <t xml:space="preserve">:  Calculates your mitigation vs monsters and provides an eHP multiplier and sustain from healing values.
</t>
    </r>
    <r>
      <rPr>
        <b/>
        <sz val="11"/>
        <color theme="1"/>
        <rFont val="Calibri"/>
        <family val="2"/>
        <scheme val="minor"/>
      </rPr>
      <t>Sheet Stats Tool</t>
    </r>
    <r>
      <rPr>
        <sz val="11"/>
        <color theme="1"/>
        <rFont val="Calibri"/>
        <family val="2"/>
        <scheme val="minor"/>
      </rPr>
      <t xml:space="preserve">:  Lets you view what effect adding/removing stat points and paragon points will have on your character.
</t>
    </r>
    <r>
      <rPr>
        <b/>
        <sz val="11"/>
        <color theme="1"/>
        <rFont val="Calibri"/>
        <family val="2"/>
        <scheme val="minor"/>
      </rPr>
      <t>Reductions Tool</t>
    </r>
    <r>
      <rPr>
        <sz val="11"/>
        <color theme="1"/>
        <rFont val="Calibri"/>
        <family val="2"/>
        <scheme val="minor"/>
      </rPr>
      <t xml:space="preserve">:  Calculates your total Cooldown Reduction and Cost Reduction values.
</t>
    </r>
    <r>
      <rPr>
        <b/>
        <sz val="11"/>
        <color theme="1"/>
        <rFont val="Calibri"/>
        <family val="2"/>
        <scheme val="minor"/>
      </rPr>
      <t>Breakpoints Tool</t>
    </r>
    <r>
      <rPr>
        <sz val="11"/>
        <color theme="1"/>
        <rFont val="Calibri"/>
        <family val="2"/>
        <scheme val="minor"/>
      </rPr>
      <t xml:space="preserve">:  Provides a list of breakpoint values and lets you calculate how much IAS you can drop or need to add to move to a new breakpoint.
</t>
    </r>
    <r>
      <rPr>
        <b/>
        <sz val="11"/>
        <color theme="1"/>
        <rFont val="Calibri"/>
        <family val="2"/>
        <scheme val="minor"/>
      </rPr>
      <t>Skill Info</t>
    </r>
    <r>
      <rPr>
        <sz val="11"/>
        <color theme="1"/>
        <rFont val="Calibri"/>
        <family val="2"/>
        <scheme val="minor"/>
      </rPr>
      <t>:  A datasheet of skill stats used as a reference for the tools.  Also includes some brief notes about the behavior of various skills.</t>
    </r>
  </si>
  <si>
    <r>
      <rPr>
        <b/>
        <sz val="11"/>
        <color theme="1"/>
        <rFont val="Calibri"/>
        <family val="2"/>
        <scheme val="minor"/>
      </rPr>
      <t>Mana-LoH Tool</t>
    </r>
    <r>
      <rPr>
        <sz val="11"/>
        <color theme="1"/>
        <rFont val="Calibri"/>
        <family val="2"/>
        <scheme val="minor"/>
      </rPr>
      <t xml:space="preserve">:
&gt;Fill in your witch doctor's relevant Mana, Regen and reduction stats.
&gt;Each skill has a separate field for number of targets and legacy gear bonuses.
</t>
    </r>
  </si>
  <si>
    <t>0.5% Armor to 5 ResAll</t>
  </si>
  <si>
    <t>Pets</t>
  </si>
  <si>
    <t>MoJ Damage %:</t>
  </si>
  <si>
    <t>Tasker's IAS %:</t>
  </si>
  <si>
    <t>Zombie Dogs</t>
  </si>
  <si>
    <t>Restless Giant</t>
  </si>
  <si>
    <t>Sycophants on Target:</t>
  </si>
  <si>
    <t>Dogs on Target:</t>
  </si>
  <si>
    <t>Fetishes on Target:</t>
  </si>
  <si>
    <t>Torchers on Target:</t>
  </si>
  <si>
    <t>Hunters on Target:</t>
  </si>
  <si>
    <t>MoJ</t>
  </si>
  <si>
    <t>Mask of Jeram legendary item</t>
  </si>
  <si>
    <t>Tasker's</t>
  </si>
  <si>
    <t>Tasker and Theo legendary item</t>
  </si>
  <si>
    <t>GI</t>
  </si>
  <si>
    <t>Grave Injustice passive</t>
  </si>
  <si>
    <t>GF</t>
  </si>
  <si>
    <t>Gruesome Feast passive</t>
  </si>
  <si>
    <t>Mit</t>
  </si>
  <si>
    <t>Mitigation - The sum total of all your damage reduction stats</t>
  </si>
  <si>
    <t>Effective Hit Points.  Similar to Toughness in-game but the Toughness stat includes dodge and single resists</t>
  </si>
  <si>
    <t>20% IAS &amp; move speed, 20s duration</t>
  </si>
  <si>
    <t>30% damage buff</t>
  </si>
  <si>
    <t>BBV - Slam Dance</t>
  </si>
  <si>
    <t>Legacy Elem %</t>
  </si>
  <si>
    <t>50 Mana per hit</t>
  </si>
  <si>
    <t>33%-35% chance to stun for 1.5s</t>
  </si>
  <si>
    <t>Toad swallows targets, 580% per second for up to 5s</t>
  </si>
  <si>
    <t>Fear targets within 18y for 3s</t>
  </si>
  <si>
    <t>1 extra dog.  20% life for you, dogs and gargantuan</t>
  </si>
  <si>
    <t>Tall Man's Finger</t>
  </si>
  <si>
    <t>Elemental Damage Bonuses</t>
  </si>
  <si>
    <r>
      <rPr>
        <b/>
        <sz val="9"/>
        <color theme="1"/>
        <rFont val="Calibri"/>
        <family val="2"/>
        <scheme val="minor"/>
      </rPr>
      <t>B</t>
    </r>
    <r>
      <rPr>
        <sz val="9"/>
        <color theme="1"/>
        <rFont val="Calibri"/>
        <family val="2"/>
        <scheme val="minor"/>
      </rPr>
      <t>ears</t>
    </r>
    <r>
      <rPr>
        <b/>
        <sz val="9"/>
        <color theme="1"/>
        <rFont val="Calibri"/>
        <family val="2"/>
        <scheme val="minor"/>
      </rPr>
      <t>O</t>
    </r>
    <r>
      <rPr>
        <sz val="9"/>
        <color theme="1"/>
        <rFont val="Calibri"/>
        <family val="2"/>
        <scheme val="minor"/>
      </rPr>
      <t>n</t>
    </r>
    <r>
      <rPr>
        <b/>
        <sz val="9"/>
        <color theme="1"/>
        <rFont val="Calibri"/>
        <family val="2"/>
        <scheme val="minor"/>
      </rPr>
      <t>T</t>
    </r>
    <r>
      <rPr>
        <sz val="9"/>
        <color theme="1"/>
        <rFont val="Calibri"/>
        <family val="2"/>
        <scheme val="minor"/>
      </rPr>
      <t>arget:</t>
    </r>
  </si>
  <si>
    <t>On-Sheet Buffs</t>
  </si>
  <si>
    <t>Non-Sheet Buffs</t>
  </si>
  <si>
    <t>Bonus</t>
  </si>
  <si>
    <t>Enabled</t>
  </si>
  <si>
    <t>Bane of the Powerful</t>
  </si>
  <si>
    <t>Other Additive</t>
  </si>
  <si>
    <t>Efficacious Toxin</t>
  </si>
  <si>
    <t>Strongarms</t>
  </si>
  <si>
    <t>Other Multiplicative</t>
  </si>
  <si>
    <t>Total On-Sheet Multiplier:</t>
  </si>
  <si>
    <t>Total Non-Sheet Multplier:</t>
  </si>
  <si>
    <t>Other 2</t>
  </si>
  <si>
    <t>Other 1</t>
  </si>
  <si>
    <t>Jade Harvester Build</t>
  </si>
  <si>
    <t>Legendary Proc Effects</t>
  </si>
  <si>
    <t>Gem:  Efficacious Toxin</t>
  </si>
  <si>
    <t>Rank:</t>
  </si>
  <si>
    <t>Damage:</t>
  </si>
  <si>
    <t>Poison Effect</t>
  </si>
  <si>
    <t>Gem:  Mirinae, Teardrop of the Starweaver</t>
  </si>
  <si>
    <t>Gem:  Pain Enhancer</t>
  </si>
  <si>
    <t>Gem:  Wreath of Lightning</t>
  </si>
  <si>
    <t>Bleed Effect</t>
  </si>
  <si>
    <t>Proc/Cast</t>
  </si>
  <si>
    <t>Thunderfury</t>
  </si>
  <si>
    <t>Proc Damage%:</t>
  </si>
  <si>
    <t>(279-372)</t>
  </si>
  <si>
    <t>Effective ICD:</t>
  </si>
  <si>
    <t>Shard of Hate</t>
  </si>
  <si>
    <t>(200-250)</t>
  </si>
  <si>
    <t>Cold Skull</t>
  </si>
  <si>
    <t>Lightning Shards</t>
  </si>
  <si>
    <t>Bolts on Target:</t>
  </si>
  <si>
    <t>Poison Nova</t>
  </si>
  <si>
    <t>Odyn Son</t>
  </si>
  <si>
    <t>Proc Chance%:</t>
  </si>
  <si>
    <t>(20-40)</t>
  </si>
  <si>
    <t>Andariel's Visage</t>
  </si>
  <si>
    <t>Fire Walkers</t>
  </si>
  <si>
    <t>Fire Trail</t>
  </si>
  <si>
    <t>Proc/s</t>
  </si>
  <si>
    <t>Enemies take 20% more damage</t>
  </si>
  <si>
    <t>Poisoned Spirit</t>
  </si>
  <si>
    <t>Leoric's Crown%:</t>
  </si>
  <si>
    <t>Obsidian Ring Proc/s:</t>
  </si>
  <si>
    <t>Minimum Interval:</t>
  </si>
  <si>
    <t>(Prevents impossibly low or sub-zero casting times)</t>
  </si>
  <si>
    <t>Witch Doctor Cooldown Index</t>
  </si>
  <si>
    <t>Cindercoat:</t>
  </si>
  <si>
    <t>Fire RCR:</t>
  </si>
  <si>
    <t>Returns 4291 life per second</t>
  </si>
  <si>
    <t>16y, Gain 3% int per target for 30s, 5 stack max</t>
  </si>
  <si>
    <t>Slow targets 80% and increases your armor by 30%</t>
  </si>
  <si>
    <t>15% chance of fetish for 60s per physcial skill cast</t>
  </si>
  <si>
    <t>Zunimassa 6p</t>
  </si>
  <si>
    <t>Jade Harvester 2p</t>
  </si>
  <si>
    <t>ZD:Chilled to the Bone</t>
  </si>
  <si>
    <t>Chilled to the Bone</t>
  </si>
  <si>
    <t>Range to Target (Yards):</t>
  </si>
  <si>
    <t>Bane of the Trapped (Rank)</t>
  </si>
  <si>
    <t>Zei's Stone (Rank)</t>
  </si>
  <si>
    <t>Enforcer (Rank)</t>
  </si>
  <si>
    <t>630% damage in AoE at fetish spawn</t>
  </si>
  <si>
    <t>Gogok (Stacks)</t>
  </si>
  <si>
    <t>Pain Enhancer (Targets)</t>
  </si>
  <si>
    <t>Other IAS</t>
  </si>
  <si>
    <t>Damage Bonus:</t>
  </si>
  <si>
    <t>Grave Injustice Procs/s:</t>
  </si>
  <si>
    <t>Weapon Speed Calculator</t>
  </si>
  <si>
    <t>Base Speed</t>
  </si>
  <si>
    <t>Weapon IAS</t>
  </si>
  <si>
    <t>Weapon APS</t>
  </si>
  <si>
    <t>Theoretical Sheet DPS Calculator</t>
  </si>
  <si>
    <t>Weapon DPS</t>
  </si>
  <si>
    <t>OH Min</t>
  </si>
  <si>
    <t>OH Max</t>
  </si>
  <si>
    <t>Other Min</t>
  </si>
  <si>
    <t>Other Max</t>
  </si>
  <si>
    <t>Weapon Speed</t>
  </si>
  <si>
    <t>Sheet DPS:</t>
  </si>
  <si>
    <t>Level 70 Weapon &amp; Item Max Damage Reference</t>
  </si>
  <si>
    <t>Ancient</t>
  </si>
  <si>
    <t>Non Ancient</t>
  </si>
  <si>
    <t>w/ 7 IAS</t>
  </si>
  <si>
    <t>2H Mace</t>
  </si>
  <si>
    <t>2H Axe</t>
  </si>
  <si>
    <t>Staff</t>
  </si>
  <si>
    <t>2H Sword</t>
  </si>
  <si>
    <t>Mace</t>
  </si>
  <si>
    <t>Spear</t>
  </si>
  <si>
    <t>Axe</t>
  </si>
  <si>
    <t>Sword</t>
  </si>
  <si>
    <t>Dagger</t>
  </si>
  <si>
    <t>OH</t>
  </si>
  <si>
    <t>Other</t>
  </si>
  <si>
    <t>Weapon Re-Roll Calculator</t>
  </si>
  <si>
    <t>Current DPS</t>
  </si>
  <si>
    <t>Re-Roll</t>
  </si>
  <si>
    <t>Non-Ancient</t>
  </si>
  <si>
    <t>Bonus Min</t>
  </si>
  <si>
    <t>Bonus Max</t>
  </si>
  <si>
    <t>10% Damage</t>
  </si>
  <si>
    <t>7% iAS</t>
  </si>
  <si>
    <t>Damage %</t>
  </si>
  <si>
    <t>IAS %</t>
  </si>
  <si>
    <t>Stat Mapper</t>
  </si>
  <si>
    <t>Gear Slot</t>
  </si>
  <si>
    <t>CHC</t>
  </si>
  <si>
    <t>Helm</t>
  </si>
  <si>
    <t>Gloves</t>
  </si>
  <si>
    <t>Bracers</t>
  </si>
  <si>
    <t>Pants</t>
  </si>
  <si>
    <t>Amulet</t>
  </si>
  <si>
    <t>Ring 1</t>
  </si>
  <si>
    <t>Ring 2</t>
  </si>
  <si>
    <t>Gems</t>
  </si>
  <si>
    <t>Total</t>
  </si>
  <si>
    <t>Ceremonial Knife</t>
  </si>
  <si>
    <t>Rush of Essense procs/10s</t>
  </si>
  <si>
    <t>Group Buffs</t>
  </si>
  <si>
    <t>Judgement:Resolved</t>
  </si>
  <si>
    <t>LoV:Critical</t>
  </si>
  <si>
    <t>SG:Divine Verdict</t>
  </si>
  <si>
    <t>Companion:Wolf</t>
  </si>
  <si>
    <t>Marked For Death</t>
  </si>
  <si>
    <t>IS:Forbidden Palace</t>
  </si>
  <si>
    <t>EP:The Flesh is Weak</t>
  </si>
  <si>
    <t>Mantra of Conviction</t>
  </si>
  <si>
    <t>MoC:Overawe</t>
  </si>
  <si>
    <t>MoR:Transgression</t>
  </si>
  <si>
    <t>Elemental Exposure</t>
  </si>
  <si>
    <t>Cold Blooded</t>
  </si>
  <si>
    <t>Conflagration</t>
  </si>
  <si>
    <t>Time Warp</t>
  </si>
  <si>
    <t>Bastions (Spender)</t>
  </si>
  <si>
    <t>Bastions (Generator)</t>
  </si>
  <si>
    <t>Dog APS:</t>
  </si>
  <si>
    <t>Fetish APS:</t>
  </si>
  <si>
    <t>Tiki APS:</t>
  </si>
  <si>
    <t>Gargantuan APS:</t>
  </si>
  <si>
    <t>BBV (Non-Slam Dance)</t>
  </si>
  <si>
    <t>BBV (Other Player)</t>
  </si>
  <si>
    <t>Head Hunter APS:</t>
  </si>
  <si>
    <t>Taeguk (Rank)</t>
  </si>
  <si>
    <t>Short Man's Finger</t>
  </si>
  <si>
    <t>(300-400)</t>
  </si>
  <si>
    <t>(350-450)</t>
  </si>
  <si>
    <t>DR vs All</t>
  </si>
  <si>
    <t>DR vs Melee</t>
  </si>
  <si>
    <t>DR vs Elites</t>
  </si>
  <si>
    <t>DR vs Non-Phys</t>
  </si>
  <si>
    <t>DR vs Ranged</t>
  </si>
  <si>
    <t>DR vs Non-Physical</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</si>
</sst>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0_ ;\-#,##0\ "/>
    <numFmt numFmtId="165" formatCode="0.000000%"/>
    <numFmt numFmtId="166" formatCode="#,##0.00_ ;\-#,##0.00\ "/>
    <numFmt numFmtId="167" formatCode="0.000000"/>
    <numFmt numFmtId="168" formatCode="#,##0.0000"/>
    <numFmt numFmtId="169" formatCode="#,##0.0000_ ;\-#,##0.0000\ "/>
    <numFmt numFmtId="170" formatCode="0.0000"/>
    <numFmt numFmtId="171" formatCode="0.0"/>
    <numFmt numFmtId="172" formatCode="0.000"/>
    <numFmt numFmtId="173" formatCode="#,##0.0_ ;\-#,##0.0\ "/>
    <numFmt numFmtId="174" formatCode="#,##0.0"/>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color rgb="FF00B050"/>
      <name val="Calibri"/>
      <family val="2"/>
      <scheme val="minor"/>
    </font>
    <font>
      <sz val="11"/>
      <color rgb="FF0070C0"/>
      <name val="Calibri"/>
      <family val="2"/>
      <scheme val="minor"/>
    </font>
    <font>
      <sz val="9"/>
      <color theme="1"/>
      <name val="Calibri"/>
      <family val="2"/>
      <scheme val="minor"/>
    </font>
    <font>
      <b/>
      <sz val="11"/>
      <color rgb="FF00B050"/>
      <name val="Calibri"/>
      <family val="2"/>
      <scheme val="minor"/>
    </font>
    <font>
      <sz val="11"/>
      <name val="Calibri"/>
      <family val="2"/>
      <scheme val="minor"/>
    </font>
    <font>
      <sz val="11"/>
      <color rgb="FFFF0000"/>
      <name val="Calibri"/>
      <family val="2"/>
      <scheme val="minor"/>
    </font>
    <font>
      <sz val="11"/>
      <color theme="0"/>
      <name val="Calibri"/>
      <family val="2"/>
      <scheme val="minor"/>
    </font>
    <font>
      <b/>
      <sz val="11"/>
      <color rgb="FFFF0000"/>
      <name val="Calibri"/>
      <family val="2"/>
      <scheme val="minor"/>
    </font>
    <font>
      <b/>
      <sz val="11"/>
      <name val="Calibri"/>
      <family val="2"/>
      <scheme val="minor"/>
    </font>
    <font>
      <b/>
      <sz val="16"/>
      <color theme="1"/>
      <name val="Calibri"/>
      <family val="2"/>
      <scheme val="minor"/>
    </font>
    <font>
      <b/>
      <u/>
      <sz val="12"/>
      <color theme="1"/>
      <name val="Calibri"/>
      <family val="2"/>
      <scheme val="minor"/>
    </font>
    <font>
      <b/>
      <sz val="9"/>
      <color theme="1"/>
      <name val="Calibri"/>
      <family val="2"/>
      <scheme val="minor"/>
    </font>
    <font>
      <sz val="9"/>
      <color rgb="FFC00000"/>
      <name val="Calibri"/>
      <family val="2"/>
      <scheme val="minor"/>
    </font>
    <font>
      <sz val="9"/>
      <color theme="0"/>
      <name val="Calibri"/>
      <family val="2"/>
      <scheme val="minor"/>
    </font>
    <font>
      <b/>
      <sz val="9"/>
      <color rgb="FFC00000"/>
      <name val="Calibri"/>
      <family val="2"/>
      <scheme val="minor"/>
    </font>
    <font>
      <sz val="9"/>
      <name val="Calibri"/>
      <family val="2"/>
      <scheme val="minor"/>
    </font>
    <font>
      <sz val="9"/>
      <color rgb="FF00B050"/>
      <name val="Calibri"/>
      <family val="2"/>
      <scheme val="minor"/>
    </font>
    <font>
      <sz val="9"/>
      <color rgb="FF0070C0"/>
      <name val="Calibri"/>
      <family val="2"/>
      <scheme val="minor"/>
    </font>
    <font>
      <b/>
      <sz val="9"/>
      <color rgb="FF00B050"/>
      <name val="Calibri"/>
      <family val="2"/>
      <scheme val="minor"/>
    </font>
    <font>
      <b/>
      <sz val="9"/>
      <color rgb="FF0070C0"/>
      <name val="Calibri"/>
      <family val="2"/>
      <scheme val="minor"/>
    </font>
    <font>
      <sz val="8"/>
      <color theme="1"/>
      <name val="Calibri"/>
      <family val="2"/>
      <scheme val="minor"/>
    </font>
    <font>
      <b/>
      <sz val="8"/>
      <color theme="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CCFFFF"/>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tint="-0.14999847407452621"/>
        <bgColor indexed="64"/>
      </patternFill>
    </fill>
  </fills>
  <borders count="15">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76">
    <xf numFmtId="0" fontId="0" fillId="0" borderId="0" xfId="0"/>
    <xf numFmtId="0" fontId="2" fillId="0" borderId="1" xfId="0" applyFont="1" applyBorder="1"/>
    <xf numFmtId="0" fontId="2" fillId="0" borderId="0" xfId="0" applyFont="1"/>
    <xf numFmtId="0" fontId="0" fillId="0" borderId="0" xfId="0" applyFill="1"/>
    <xf numFmtId="0" fontId="0" fillId="0" borderId="5" xfId="0" applyFill="1" applyBorder="1"/>
    <xf numFmtId="0" fontId="0" fillId="0" borderId="0" xfId="0" applyAlignment="1">
      <alignment horizontal="right"/>
    </xf>
    <xf numFmtId="0" fontId="0" fillId="0" borderId="1" xfId="0" applyBorder="1"/>
    <xf numFmtId="0" fontId="0" fillId="0" borderId="0" xfId="0" applyBorder="1"/>
    <xf numFmtId="0" fontId="5" fillId="0" borderId="0" xfId="0" applyFont="1" applyAlignment="1">
      <alignment vertical="center" wrapText="1"/>
    </xf>
    <xf numFmtId="0" fontId="0" fillId="0" borderId="0" xfId="0"/>
    <xf numFmtId="167" fontId="0" fillId="0" borderId="0" xfId="0" applyNumberFormat="1"/>
    <xf numFmtId="0" fontId="2" fillId="0" borderId="1" xfId="0" applyFont="1" applyFill="1" applyBorder="1"/>
    <xf numFmtId="10" fontId="3" fillId="0" borderId="0" xfId="2" applyNumberFormat="1" applyFont="1"/>
    <xf numFmtId="4" fontId="4" fillId="0" borderId="0" xfId="0" applyNumberFormat="1" applyFont="1"/>
    <xf numFmtId="2" fontId="0" fillId="0" borderId="0" xfId="0" applyNumberFormat="1"/>
    <xf numFmtId="0" fontId="2" fillId="0" borderId="0" xfId="0" applyFont="1" applyAlignment="1">
      <alignment horizontal="right"/>
    </xf>
    <xf numFmtId="0" fontId="0" fillId="0" borderId="0" xfId="0" applyAlignment="1">
      <alignment horizontal="center"/>
    </xf>
    <xf numFmtId="0" fontId="2" fillId="0" borderId="1" xfId="0" applyFont="1" applyFill="1" applyBorder="1" applyAlignment="1">
      <alignment horizontal="left"/>
    </xf>
    <xf numFmtId="0" fontId="2" fillId="0" borderId="1" xfId="0" applyFont="1" applyBorder="1" applyAlignment="1">
      <alignment horizontal="left"/>
    </xf>
    <xf numFmtId="0" fontId="2" fillId="0" borderId="0" xfId="0" applyFont="1" applyFill="1" applyBorder="1" applyAlignment="1">
      <alignment horizontal="left"/>
    </xf>
    <xf numFmtId="0" fontId="0" fillId="4" borderId="0" xfId="0" applyFill="1" applyAlignment="1">
      <alignment horizontal="left"/>
    </xf>
    <xf numFmtId="0" fontId="0" fillId="0" borderId="0" xfId="0" applyAlignment="1">
      <alignment horizontal="left"/>
    </xf>
    <xf numFmtId="0" fontId="2" fillId="5" borderId="1" xfId="0" applyFont="1" applyFill="1" applyBorder="1"/>
    <xf numFmtId="10" fontId="0" fillId="0" borderId="0" xfId="2" applyNumberFormat="1" applyFont="1"/>
    <xf numFmtId="0" fontId="2" fillId="3" borderId="2" xfId="0" applyFont="1" applyFill="1" applyBorder="1" applyAlignment="1">
      <alignment horizontal="right"/>
    </xf>
    <xf numFmtId="0" fontId="2" fillId="3" borderId="1" xfId="0" applyFont="1" applyFill="1" applyBorder="1"/>
    <xf numFmtId="0" fontId="2" fillId="4" borderId="5" xfId="0" applyFont="1" applyFill="1" applyBorder="1" applyAlignment="1">
      <alignment horizontal="right"/>
    </xf>
    <xf numFmtId="0" fontId="0" fillId="4" borderId="0" xfId="0" applyFill="1"/>
    <xf numFmtId="0" fontId="2" fillId="0" borderId="0" xfId="0" applyFont="1" applyAlignment="1">
      <alignment horizontal="left"/>
    </xf>
    <xf numFmtId="170" fontId="0" fillId="0" borderId="0" xfId="0" applyNumberFormat="1" applyBorder="1"/>
    <xf numFmtId="171" fontId="0" fillId="0" borderId="0" xfId="0" applyNumberFormat="1"/>
    <xf numFmtId="1" fontId="0" fillId="0" borderId="0" xfId="0" applyNumberFormat="1"/>
    <xf numFmtId="0" fontId="2" fillId="0" borderId="0" xfId="0" applyFont="1" applyProtection="1">
      <protection locked="0"/>
    </xf>
    <xf numFmtId="0" fontId="2" fillId="0" borderId="0" xfId="0" applyFont="1" applyBorder="1" applyProtection="1">
      <protection locked="0"/>
    </xf>
    <xf numFmtId="171" fontId="2" fillId="0" borderId="0" xfId="0" applyNumberFormat="1" applyFont="1" applyProtection="1">
      <protection locked="0"/>
    </xf>
    <xf numFmtId="1" fontId="2" fillId="0" borderId="0" xfId="0" applyNumberFormat="1" applyFont="1" applyProtection="1">
      <protection locked="0"/>
    </xf>
    <xf numFmtId="1" fontId="2" fillId="0" borderId="0" xfId="0" applyNumberFormat="1" applyFont="1" applyBorder="1" applyProtection="1">
      <protection locked="0"/>
    </xf>
    <xf numFmtId="0" fontId="2" fillId="0" borderId="0" xfId="0" applyFont="1" applyFill="1"/>
    <xf numFmtId="0" fontId="0" fillId="0" borderId="0" xfId="0" applyFill="1" applyBorder="1"/>
    <xf numFmtId="0" fontId="2" fillId="0" borderId="0" xfId="0" applyFont="1" applyBorder="1"/>
    <xf numFmtId="0" fontId="0" fillId="0" borderId="0" xfId="0"/>
    <xf numFmtId="0" fontId="2" fillId="0" borderId="0" xfId="0" applyFont="1" applyAlignment="1">
      <alignment horizontal="right"/>
    </xf>
    <xf numFmtId="0" fontId="2" fillId="0" borderId="0" xfId="0" applyFont="1" applyAlignment="1">
      <alignment horizontal="center"/>
    </xf>
    <xf numFmtId="0" fontId="0" fillId="0" borderId="0" xfId="0"/>
    <xf numFmtId="0" fontId="2" fillId="0" borderId="0" xfId="0" applyFont="1" applyAlignment="1">
      <alignment horizontal="right"/>
    </xf>
    <xf numFmtId="0" fontId="2" fillId="0" borderId="1" xfId="0" applyFont="1" applyBorder="1"/>
    <xf numFmtId="0" fontId="0" fillId="2" borderId="0" xfId="0" applyFill="1" applyAlignment="1">
      <alignment horizontal="left"/>
    </xf>
    <xf numFmtId="0" fontId="4" fillId="0" borderId="0" xfId="0" applyFont="1"/>
    <xf numFmtId="0" fontId="2" fillId="0" borderId="0" xfId="0" applyFont="1" applyFill="1" applyBorder="1" applyAlignment="1">
      <alignment horizontal="center"/>
    </xf>
    <xf numFmtId="0" fontId="2" fillId="0" borderId="0" xfId="0" applyFont="1" applyBorder="1" applyAlignment="1">
      <alignment horizontal="center"/>
    </xf>
    <xf numFmtId="170" fontId="2" fillId="0" borderId="0" xfId="0" applyNumberFormat="1" applyFont="1" applyBorder="1" applyAlignment="1">
      <alignment horizontal="center"/>
    </xf>
    <xf numFmtId="0" fontId="0" fillId="0" borderId="0" xfId="0"/>
    <xf numFmtId="0" fontId="2" fillId="0" borderId="1" xfId="0" applyFont="1" applyBorder="1"/>
    <xf numFmtId="0" fontId="2" fillId="0" borderId="0" xfId="0" applyFont="1" applyAlignment="1">
      <alignment horizontal="right"/>
    </xf>
    <xf numFmtId="0" fontId="2" fillId="0" borderId="0" xfId="0" applyFont="1"/>
    <xf numFmtId="0" fontId="0" fillId="0" borderId="0" xfId="0" applyFill="1" applyBorder="1"/>
    <xf numFmtId="0" fontId="2" fillId="0" borderId="0" xfId="0" applyFont="1" applyFill="1" applyBorder="1"/>
    <xf numFmtId="10" fontId="8" fillId="0" borderId="0" xfId="2" applyNumberFormat="1" applyFont="1"/>
    <xf numFmtId="4" fontId="0" fillId="0" borderId="0" xfId="0" applyNumberFormat="1"/>
    <xf numFmtId="2" fontId="7" fillId="0" borderId="0" xfId="2" applyNumberFormat="1" applyFont="1"/>
    <xf numFmtId="4" fontId="0" fillId="0" borderId="1" xfId="0" applyNumberFormat="1" applyBorder="1"/>
    <xf numFmtId="4" fontId="8" fillId="0" borderId="0" xfId="0" applyNumberFormat="1" applyFont="1"/>
    <xf numFmtId="0" fontId="6" fillId="0" borderId="0" xfId="0" applyFont="1"/>
    <xf numFmtId="2" fontId="3" fillId="0" borderId="0" xfId="0" applyNumberFormat="1" applyFont="1"/>
    <xf numFmtId="10" fontId="3" fillId="0" borderId="0" xfId="0" applyNumberFormat="1" applyFont="1"/>
    <xf numFmtId="10" fontId="7" fillId="0" borderId="0" xfId="2" applyNumberFormat="1" applyFont="1"/>
    <xf numFmtId="2" fontId="7" fillId="0" borderId="0" xfId="0" applyNumberFormat="1" applyFont="1"/>
    <xf numFmtId="10" fontId="7" fillId="0" borderId="0" xfId="0" applyNumberFormat="1" applyFont="1"/>
    <xf numFmtId="0" fontId="11" fillId="0" borderId="0" xfId="0" applyFont="1"/>
    <xf numFmtId="4" fontId="0" fillId="0" borderId="0" xfId="0" applyNumberFormat="1" applyFill="1" applyBorder="1"/>
    <xf numFmtId="0" fontId="9" fillId="0" borderId="0" xfId="0" applyFont="1"/>
    <xf numFmtId="0" fontId="9" fillId="0" borderId="0" xfId="0" applyFont="1" applyProtection="1">
      <protection hidden="1"/>
    </xf>
    <xf numFmtId="0" fontId="0" fillId="0" borderId="0" xfId="0"/>
    <xf numFmtId="0" fontId="0" fillId="0" borderId="0" xfId="0"/>
    <xf numFmtId="0" fontId="0" fillId="0" borderId="0" xfId="0"/>
    <xf numFmtId="0" fontId="0" fillId="0" borderId="0" xfId="0"/>
    <xf numFmtId="0" fontId="2" fillId="0" borderId="0" xfId="0" applyFont="1" applyAlignment="1">
      <alignment horizontal="right"/>
    </xf>
    <xf numFmtId="0" fontId="0" fillId="0" borderId="0" xfId="0" applyFill="1" applyBorder="1"/>
    <xf numFmtId="0" fontId="2" fillId="0" borderId="0" xfId="0" applyFont="1"/>
    <xf numFmtId="0" fontId="0" fillId="0" borderId="0" xfId="0"/>
    <xf numFmtId="0" fontId="0" fillId="0" borderId="0" xfId="0"/>
    <xf numFmtId="0" fontId="0" fillId="0" borderId="0" xfId="0"/>
    <xf numFmtId="0" fontId="5" fillId="0" borderId="0" xfId="0" applyFont="1"/>
    <xf numFmtId="0" fontId="14" fillId="0" borderId="0" xfId="0" applyFont="1" applyBorder="1" applyAlignment="1">
      <alignment horizontal="right"/>
    </xf>
    <xf numFmtId="4" fontId="5" fillId="0" borderId="5" xfId="0" applyNumberFormat="1" applyFont="1" applyFill="1" applyBorder="1"/>
    <xf numFmtId="0" fontId="14" fillId="4" borderId="2" xfId="0" applyFont="1" applyFill="1" applyBorder="1" applyAlignment="1">
      <alignment horizontal="right"/>
    </xf>
    <xf numFmtId="0" fontId="5" fillId="0" borderId="4" xfId="0" applyFont="1" applyFill="1" applyBorder="1"/>
    <xf numFmtId="0" fontId="5" fillId="0" borderId="5" xfId="0" applyFont="1" applyBorder="1"/>
    <xf numFmtId="0" fontId="5" fillId="0" borderId="5" xfId="0" applyFont="1" applyFill="1" applyBorder="1"/>
    <xf numFmtId="0" fontId="14" fillId="3" borderId="10" xfId="0" applyFont="1" applyFill="1" applyBorder="1" applyAlignment="1">
      <alignment horizontal="right"/>
    </xf>
    <xf numFmtId="3" fontId="14" fillId="0" borderId="0" xfId="0" applyNumberFormat="1" applyFont="1" applyBorder="1" applyAlignment="1">
      <alignment horizontal="right"/>
    </xf>
    <xf numFmtId="0" fontId="14" fillId="0" borderId="1" xfId="0" applyFont="1" applyBorder="1" applyAlignment="1">
      <alignment horizontal="right"/>
    </xf>
    <xf numFmtId="0" fontId="5" fillId="0" borderId="2" xfId="0" applyFont="1" applyFill="1" applyBorder="1"/>
    <xf numFmtId="0" fontId="14" fillId="6" borderId="10" xfId="0" applyFont="1" applyFill="1" applyBorder="1" applyAlignment="1">
      <alignment horizontal="right"/>
    </xf>
    <xf numFmtId="0" fontId="14" fillId="0" borderId="0" xfId="0" applyFont="1" applyAlignment="1">
      <alignment horizontal="right"/>
    </xf>
    <xf numFmtId="3" fontId="14" fillId="0" borderId="0" xfId="0" applyNumberFormat="1" applyFont="1" applyBorder="1"/>
    <xf numFmtId="0" fontId="5" fillId="0" borderId="5" xfId="0" applyFont="1" applyFill="1" applyBorder="1" applyAlignment="1">
      <alignment horizontal="right"/>
    </xf>
    <xf numFmtId="0" fontId="14" fillId="0" borderId="0" xfId="0" applyFont="1"/>
    <xf numFmtId="9" fontId="5" fillId="0" borderId="5" xfId="2" applyFont="1" applyBorder="1"/>
    <xf numFmtId="4" fontId="5" fillId="0" borderId="5" xfId="0" applyNumberFormat="1" applyFont="1" applyBorder="1" applyAlignment="1">
      <alignment horizontal="right"/>
    </xf>
    <xf numFmtId="0" fontId="14" fillId="10" borderId="0" xfId="0" applyFont="1" applyFill="1" applyAlignment="1">
      <alignment horizontal="right"/>
    </xf>
    <xf numFmtId="4" fontId="5" fillId="0" borderId="2" xfId="0" applyNumberFormat="1" applyFont="1" applyBorder="1"/>
    <xf numFmtId="0" fontId="14" fillId="11" borderId="0" xfId="0" applyFont="1" applyFill="1" applyAlignment="1">
      <alignment horizontal="right"/>
    </xf>
    <xf numFmtId="4" fontId="17" fillId="0" borderId="5" xfId="0" applyNumberFormat="1" applyFont="1" applyFill="1" applyBorder="1" applyAlignment="1">
      <alignment horizontal="right"/>
    </xf>
    <xf numFmtId="0" fontId="14" fillId="9" borderId="0" xfId="0" applyFont="1" applyFill="1" applyAlignment="1">
      <alignment horizontal="right"/>
    </xf>
    <xf numFmtId="4" fontId="17" fillId="0" borderId="2" xfId="0" applyNumberFormat="1" applyFont="1" applyFill="1" applyBorder="1" applyAlignment="1">
      <alignment horizontal="right"/>
    </xf>
    <xf numFmtId="4" fontId="14" fillId="12" borderId="5" xfId="0" applyNumberFormat="1" applyFont="1" applyFill="1" applyBorder="1"/>
    <xf numFmtId="4" fontId="14" fillId="12" borderId="5" xfId="0" applyNumberFormat="1" applyFont="1" applyFill="1" applyBorder="1" applyAlignment="1">
      <alignment horizontal="right"/>
    </xf>
    <xf numFmtId="4" fontId="14" fillId="0" borderId="0" xfId="0" applyNumberFormat="1" applyFont="1" applyFill="1" applyBorder="1" applyAlignment="1">
      <alignment horizontal="right"/>
    </xf>
    <xf numFmtId="0" fontId="14" fillId="0" borderId="5" xfId="0" applyFont="1" applyBorder="1" applyAlignment="1">
      <alignment horizontal="right"/>
    </xf>
    <xf numFmtId="0" fontId="14" fillId="0" borderId="7" xfId="0" applyFont="1" applyBorder="1" applyAlignment="1">
      <alignment horizontal="right"/>
    </xf>
    <xf numFmtId="0" fontId="14" fillId="0" borderId="7" xfId="0" applyFont="1" applyFill="1" applyBorder="1" applyAlignment="1">
      <alignment horizontal="right"/>
    </xf>
    <xf numFmtId="0" fontId="14" fillId="0" borderId="5" xfId="0" applyFont="1" applyFill="1" applyBorder="1" applyAlignment="1">
      <alignment horizontal="right"/>
    </xf>
    <xf numFmtId="0" fontId="5" fillId="0" borderId="7" xfId="0" applyFont="1" applyBorder="1"/>
    <xf numFmtId="10" fontId="5" fillId="0" borderId="7" xfId="2" applyNumberFormat="1" applyFont="1" applyBorder="1" applyAlignment="1">
      <alignment horizontal="left"/>
    </xf>
    <xf numFmtId="0" fontId="15" fillId="0" borderId="0" xfId="0" applyFont="1"/>
    <xf numFmtId="172" fontId="18" fillId="0" borderId="5" xfId="0" applyNumberFormat="1" applyFont="1" applyBorder="1"/>
    <xf numFmtId="168" fontId="5" fillId="0" borderId="7" xfId="0" applyNumberFormat="1" applyFont="1" applyBorder="1"/>
    <xf numFmtId="168" fontId="5" fillId="0" borderId="5" xfId="0" applyNumberFormat="1" applyFont="1" applyBorder="1"/>
    <xf numFmtId="168" fontId="5" fillId="0" borderId="0" xfId="0" applyNumberFormat="1" applyFont="1"/>
    <xf numFmtId="0" fontId="16" fillId="0" borderId="5" xfId="0" applyFont="1" applyBorder="1"/>
    <xf numFmtId="0" fontId="5" fillId="0" borderId="0" xfId="0" applyFont="1" applyAlignment="1">
      <alignment horizontal="right"/>
    </xf>
    <xf numFmtId="0" fontId="5" fillId="0" borderId="0" xfId="0" applyFont="1" applyFill="1"/>
    <xf numFmtId="0" fontId="5" fillId="0" borderId="0" xfId="0" applyFont="1" applyBorder="1"/>
    <xf numFmtId="10" fontId="5" fillId="6" borderId="12" xfId="2" applyNumberFormat="1" applyFont="1" applyFill="1" applyBorder="1" applyAlignment="1">
      <alignment horizontal="right"/>
    </xf>
    <xf numFmtId="0" fontId="14" fillId="12" borderId="1" xfId="0" applyFont="1" applyFill="1" applyBorder="1" applyAlignment="1">
      <alignment horizontal="right"/>
    </xf>
    <xf numFmtId="0" fontId="14" fillId="0" borderId="1" xfId="0" applyFont="1" applyFill="1" applyBorder="1" applyAlignment="1">
      <alignment horizontal="center"/>
    </xf>
    <xf numFmtId="0" fontId="5" fillId="13" borderId="0" xfId="0" applyFont="1" applyFill="1" applyBorder="1"/>
    <xf numFmtId="1" fontId="15" fillId="13" borderId="0" xfId="2" applyNumberFormat="1" applyFont="1" applyFill="1" applyBorder="1" applyAlignment="1">
      <alignment horizontal="right"/>
    </xf>
    <xf numFmtId="4" fontId="15" fillId="13" borderId="5" xfId="0" applyNumberFormat="1" applyFont="1" applyFill="1" applyBorder="1"/>
    <xf numFmtId="1" fontId="5" fillId="13" borderId="2" xfId="2" applyNumberFormat="1" applyFont="1" applyFill="1" applyBorder="1"/>
    <xf numFmtId="3" fontId="5" fillId="13" borderId="5" xfId="0" applyNumberFormat="1" applyFont="1" applyFill="1" applyBorder="1" applyAlignment="1">
      <alignment horizontal="right"/>
    </xf>
    <xf numFmtId="3" fontId="5" fillId="13" borderId="5" xfId="0" applyNumberFormat="1" applyFont="1" applyFill="1" applyBorder="1"/>
    <xf numFmtId="0" fontId="5" fillId="13" borderId="5" xfId="0" applyFont="1" applyFill="1" applyBorder="1"/>
    <xf numFmtId="0" fontId="5" fillId="13" borderId="2" xfId="0" applyFont="1" applyFill="1" applyBorder="1"/>
    <xf numFmtId="0" fontId="5" fillId="13" borderId="0" xfId="0" applyFont="1" applyFill="1"/>
    <xf numFmtId="0" fontId="5" fillId="0" borderId="1" xfId="0" applyFont="1" applyBorder="1"/>
    <xf numFmtId="0" fontId="5" fillId="0" borderId="2" xfId="0" applyFont="1" applyBorder="1"/>
    <xf numFmtId="0" fontId="5" fillId="13" borderId="1" xfId="0" applyFont="1" applyFill="1" applyBorder="1"/>
    <xf numFmtId="0" fontId="14" fillId="0" borderId="2" xfId="0" applyFont="1" applyBorder="1"/>
    <xf numFmtId="10" fontId="0" fillId="0" borderId="0" xfId="2" applyNumberFormat="1" applyFont="1" applyFill="1"/>
    <xf numFmtId="167" fontId="0" fillId="4" borderId="0" xfId="2" applyNumberFormat="1" applyFont="1" applyFill="1"/>
    <xf numFmtId="0" fontId="0" fillId="0" borderId="0" xfId="0" applyFill="1" applyAlignment="1">
      <alignment horizontal="right"/>
    </xf>
    <xf numFmtId="0" fontId="0" fillId="13" borderId="5" xfId="0" applyFill="1" applyBorder="1"/>
    <xf numFmtId="0" fontId="0" fillId="13" borderId="0" xfId="0" applyFill="1"/>
    <xf numFmtId="0" fontId="0" fillId="13" borderId="0" xfId="0" applyFill="1" applyBorder="1"/>
    <xf numFmtId="0" fontId="0" fillId="13" borderId="1" xfId="0" applyFill="1" applyBorder="1"/>
    <xf numFmtId="0" fontId="16" fillId="0" borderId="5" xfId="0" applyFont="1" applyFill="1" applyBorder="1"/>
    <xf numFmtId="0" fontId="16" fillId="0" borderId="2" xfId="0" applyFont="1" applyBorder="1"/>
    <xf numFmtId="0" fontId="16" fillId="0" borderId="2" xfId="0" applyFont="1" applyFill="1" applyBorder="1"/>
    <xf numFmtId="0" fontId="14" fillId="0" borderId="1" xfId="0" applyFont="1" applyBorder="1"/>
    <xf numFmtId="164" fontId="5" fillId="0" borderId="0" xfId="0" applyNumberFormat="1" applyFont="1" applyBorder="1"/>
    <xf numFmtId="10" fontId="5" fillId="0" borderId="0" xfId="2" applyNumberFormat="1" applyFont="1" applyBorder="1"/>
    <xf numFmtId="165" fontId="19" fillId="0" borderId="0" xfId="2" applyNumberFormat="1" applyFont="1"/>
    <xf numFmtId="43" fontId="20" fillId="0" borderId="5" xfId="1" applyFont="1" applyBorder="1"/>
    <xf numFmtId="43" fontId="15" fillId="0" borderId="0" xfId="1" applyFont="1"/>
    <xf numFmtId="43" fontId="20" fillId="0" borderId="0" xfId="1" applyFont="1" applyAlignment="1">
      <alignment horizontal="right"/>
    </xf>
    <xf numFmtId="43" fontId="20" fillId="0" borderId="5" xfId="0" applyNumberFormat="1" applyFont="1" applyBorder="1"/>
    <xf numFmtId="166" fontId="5" fillId="0" borderId="0" xfId="0" applyNumberFormat="1" applyFont="1" applyBorder="1"/>
    <xf numFmtId="173" fontId="5" fillId="0" borderId="6" xfId="0" applyNumberFormat="1" applyFont="1" applyBorder="1"/>
    <xf numFmtId="10" fontId="5" fillId="0" borderId="1" xfId="2" applyNumberFormat="1" applyFont="1" applyBorder="1"/>
    <xf numFmtId="167" fontId="5" fillId="0" borderId="0" xfId="0" applyNumberFormat="1" applyFont="1" applyFill="1"/>
    <xf numFmtId="167" fontId="5" fillId="0" borderId="7" xfId="0" applyNumberFormat="1" applyFont="1" applyBorder="1"/>
    <xf numFmtId="43" fontId="17" fillId="0" borderId="0" xfId="1" applyFont="1" applyFill="1"/>
    <xf numFmtId="166" fontId="17" fillId="0" borderId="7" xfId="0" applyNumberFormat="1" applyFont="1" applyBorder="1"/>
    <xf numFmtId="43" fontId="5" fillId="0" borderId="0" xfId="0" applyNumberFormat="1" applyFont="1"/>
    <xf numFmtId="43" fontId="5" fillId="0" borderId="0" xfId="1" applyFont="1" applyFill="1"/>
    <xf numFmtId="166" fontId="5" fillId="0" borderId="7" xfId="0" applyNumberFormat="1" applyFont="1" applyBorder="1"/>
    <xf numFmtId="43" fontId="5" fillId="0" borderId="0" xfId="1" applyFont="1"/>
    <xf numFmtId="43" fontId="5" fillId="0" borderId="1" xfId="1" applyFont="1" applyFill="1" applyBorder="1"/>
    <xf numFmtId="166" fontId="5" fillId="0" borderId="6" xfId="0" applyNumberFormat="1" applyFont="1" applyBorder="1"/>
    <xf numFmtId="0" fontId="14" fillId="0" borderId="3" xfId="0" applyFont="1" applyBorder="1" applyAlignment="1">
      <alignment horizontal="right"/>
    </xf>
    <xf numFmtId="0" fontId="14" fillId="0" borderId="8" xfId="0" applyFont="1" applyBorder="1" applyAlignment="1">
      <alignment horizontal="right"/>
    </xf>
    <xf numFmtId="0" fontId="14" fillId="0" borderId="6" xfId="0" applyFont="1" applyBorder="1" applyAlignment="1">
      <alignment vertical="center" wrapText="1"/>
    </xf>
    <xf numFmtId="167" fontId="5" fillId="0" borderId="0" xfId="2" applyNumberFormat="1" applyFont="1"/>
    <xf numFmtId="164" fontId="5" fillId="0" borderId="7" xfId="0" applyNumberFormat="1" applyFont="1" applyBorder="1"/>
    <xf numFmtId="0" fontId="5" fillId="0" borderId="9" xfId="0" applyFont="1" applyBorder="1"/>
    <xf numFmtId="167" fontId="5" fillId="0" borderId="0" xfId="0" applyNumberFormat="1" applyFont="1"/>
    <xf numFmtId="43" fontId="5" fillId="0" borderId="7" xfId="0" applyNumberFormat="1" applyFont="1" applyBorder="1"/>
    <xf numFmtId="10" fontId="21" fillId="0" borderId="1" xfId="2" applyNumberFormat="1" applyFont="1" applyFill="1" applyBorder="1"/>
    <xf numFmtId="165" fontId="21" fillId="0" borderId="6" xfId="2" applyNumberFormat="1" applyFont="1" applyBorder="1"/>
    <xf numFmtId="165" fontId="5" fillId="0" borderId="1" xfId="2" applyNumberFormat="1" applyFont="1" applyBorder="1"/>
    <xf numFmtId="43" fontId="22" fillId="0" borderId="0" xfId="1" applyFont="1" applyFill="1"/>
    <xf numFmtId="166" fontId="22" fillId="0" borderId="7" xfId="0" applyNumberFormat="1" applyFont="1" applyBorder="1"/>
    <xf numFmtId="0" fontId="14" fillId="0" borderId="1" xfId="0" applyFont="1" applyFill="1" applyBorder="1"/>
    <xf numFmtId="167" fontId="5" fillId="0" borderId="5" xfId="0" applyNumberFormat="1" applyFont="1" applyBorder="1"/>
    <xf numFmtId="166" fontId="20" fillId="0" borderId="7" xfId="0" applyNumberFormat="1" applyFont="1" applyBorder="1"/>
    <xf numFmtId="0" fontId="5" fillId="0" borderId="0" xfId="0" applyFont="1" applyAlignment="1"/>
    <xf numFmtId="10" fontId="19" fillId="0" borderId="0" xfId="2" applyNumberFormat="1" applyFont="1"/>
    <xf numFmtId="165" fontId="19" fillId="0" borderId="0" xfId="0" applyNumberFormat="1" applyFont="1"/>
    <xf numFmtId="4" fontId="20" fillId="0" borderId="0" xfId="0" applyNumberFormat="1" applyFont="1"/>
    <xf numFmtId="4" fontId="20" fillId="0" borderId="5" xfId="0" applyNumberFormat="1" applyFont="1" applyBorder="1"/>
    <xf numFmtId="3" fontId="5" fillId="0" borderId="0" xfId="0" applyNumberFormat="1" applyFont="1"/>
    <xf numFmtId="4" fontId="15" fillId="0" borderId="0" xfId="0" applyNumberFormat="1" applyFont="1" applyBorder="1"/>
    <xf numFmtId="166" fontId="15" fillId="0" borderId="0" xfId="0" applyNumberFormat="1" applyFont="1" applyBorder="1"/>
    <xf numFmtId="3" fontId="5" fillId="0" borderId="0" xfId="0" applyNumberFormat="1" applyFont="1" applyBorder="1"/>
    <xf numFmtId="168" fontId="5" fillId="0" borderId="0" xfId="0" applyNumberFormat="1" applyFont="1" applyBorder="1"/>
    <xf numFmtId="169" fontId="5" fillId="0" borderId="0" xfId="0" applyNumberFormat="1" applyFont="1" applyBorder="1" applyAlignment="1">
      <alignment horizontal="right"/>
    </xf>
    <xf numFmtId="169" fontId="5" fillId="0" borderId="0" xfId="0" applyNumberFormat="1" applyFont="1" applyBorder="1"/>
    <xf numFmtId="0" fontId="5" fillId="0" borderId="0" xfId="0" applyFont="1" applyBorder="1" applyAlignment="1"/>
    <xf numFmtId="2" fontId="5" fillId="0" borderId="0" xfId="0" applyNumberFormat="1" applyFont="1"/>
    <xf numFmtId="4" fontId="15" fillId="0" borderId="1" xfId="0" applyNumberFormat="1" applyFont="1" applyBorder="1"/>
    <xf numFmtId="166" fontId="15" fillId="0" borderId="1" xfId="0" applyNumberFormat="1" applyFont="1" applyBorder="1"/>
    <xf numFmtId="3" fontId="5" fillId="0" borderId="1" xfId="0" applyNumberFormat="1" applyFont="1" applyBorder="1"/>
    <xf numFmtId="168" fontId="5" fillId="0" borderId="1" xfId="0" applyNumberFormat="1" applyFont="1" applyBorder="1"/>
    <xf numFmtId="169" fontId="5" fillId="0" borderId="1" xfId="0" applyNumberFormat="1" applyFont="1" applyBorder="1" applyAlignment="1">
      <alignment horizontal="right"/>
    </xf>
    <xf numFmtId="169" fontId="5" fillId="0" borderId="1" xfId="0" applyNumberFormat="1" applyFont="1" applyBorder="1"/>
    <xf numFmtId="4" fontId="17" fillId="0" borderId="0" xfId="0" applyNumberFormat="1" applyFont="1" applyFill="1"/>
    <xf numFmtId="4" fontId="17" fillId="0" borderId="0" xfId="0" applyNumberFormat="1" applyFont="1" applyAlignment="1">
      <alignment horizontal="right"/>
    </xf>
    <xf numFmtId="10" fontId="21" fillId="0" borderId="0" xfId="2" applyNumberFormat="1" applyFont="1"/>
    <xf numFmtId="165" fontId="21" fillId="0" borderId="0" xfId="0" applyNumberFormat="1" applyFont="1"/>
    <xf numFmtId="4" fontId="22" fillId="0" borderId="0" xfId="0" applyNumberFormat="1" applyFont="1"/>
    <xf numFmtId="168" fontId="14" fillId="0" borderId="0" xfId="0" applyNumberFormat="1" applyFont="1" applyBorder="1"/>
    <xf numFmtId="169" fontId="14" fillId="0" borderId="0" xfId="0" applyNumberFormat="1" applyFont="1" applyBorder="1" applyAlignment="1">
      <alignment horizontal="right"/>
    </xf>
    <xf numFmtId="169" fontId="14" fillId="0" borderId="0" xfId="0" applyNumberFormat="1" applyFont="1" applyBorder="1"/>
    <xf numFmtId="3" fontId="5" fillId="13" borderId="0" xfId="0" applyNumberFormat="1" applyFont="1" applyFill="1"/>
    <xf numFmtId="0" fontId="5" fillId="13" borderId="5" xfId="0" applyFont="1" applyFill="1" applyBorder="1" applyAlignment="1">
      <alignment horizontal="left"/>
    </xf>
    <xf numFmtId="43" fontId="17" fillId="13" borderId="0" xfId="1" applyFont="1" applyFill="1"/>
    <xf numFmtId="0" fontId="0" fillId="13" borderId="0" xfId="0" applyFont="1" applyFill="1" applyBorder="1"/>
    <xf numFmtId="4" fontId="0" fillId="13" borderId="0" xfId="0" applyNumberFormat="1" applyFill="1"/>
    <xf numFmtId="4" fontId="0" fillId="13" borderId="1" xfId="0" applyNumberFormat="1" applyFill="1" applyBorder="1"/>
    <xf numFmtId="0" fontId="0" fillId="13" borderId="0" xfId="0" applyFill="1" applyAlignment="1">
      <alignment horizontal="left"/>
    </xf>
    <xf numFmtId="0" fontId="5" fillId="13" borderId="0" xfId="0" applyFont="1" applyFill="1" applyAlignment="1">
      <alignment horizontal="left"/>
    </xf>
    <xf numFmtId="0" fontId="5" fillId="0" borderId="5" xfId="0" applyFont="1" applyBorder="1" applyAlignment="1">
      <alignment horizontal="left"/>
    </xf>
    <xf numFmtId="170" fontId="5" fillId="13" borderId="0" xfId="0" applyNumberFormat="1" applyFont="1" applyFill="1" applyAlignment="1">
      <alignment horizontal="right"/>
    </xf>
    <xf numFmtId="0" fontId="5" fillId="0" borderId="0" xfId="0" applyFont="1" applyFill="1" applyAlignment="1">
      <alignment horizontal="left"/>
    </xf>
    <xf numFmtId="4" fontId="14" fillId="0" borderId="0" xfId="0" applyNumberFormat="1" applyFont="1" applyAlignment="1">
      <alignment horizontal="right"/>
    </xf>
    <xf numFmtId="174" fontId="5" fillId="13" borderId="0" xfId="0" applyNumberFormat="1" applyFont="1" applyFill="1" applyAlignment="1">
      <alignment horizontal="left"/>
    </xf>
    <xf numFmtId="4" fontId="5" fillId="0" borderId="0" xfId="0" applyNumberFormat="1" applyFont="1"/>
    <xf numFmtId="3" fontId="5" fillId="13" borderId="0" xfId="0" applyNumberFormat="1" applyFont="1" applyFill="1" applyAlignment="1">
      <alignment horizontal="left"/>
    </xf>
    <xf numFmtId="0" fontId="5" fillId="0" borderId="0" xfId="0" applyFont="1"/>
    <xf numFmtId="0" fontId="0" fillId="0" borderId="0" xfId="0"/>
    <xf numFmtId="4" fontId="7" fillId="0" borderId="0" xfId="0" applyNumberFormat="1" applyFont="1"/>
    <xf numFmtId="0" fontId="0" fillId="0" borderId="0" xfId="0"/>
    <xf numFmtId="0" fontId="14" fillId="0" borderId="1" xfId="0" applyFont="1" applyBorder="1" applyAlignment="1">
      <alignment horizontal="center"/>
    </xf>
    <xf numFmtId="0" fontId="5" fillId="0" borderId="0" xfId="0" applyFont="1"/>
    <xf numFmtId="0" fontId="14" fillId="0" borderId="1" xfId="0" applyFont="1" applyBorder="1"/>
    <xf numFmtId="0" fontId="5" fillId="4" borderId="0" xfId="0" applyFont="1" applyFill="1"/>
    <xf numFmtId="0" fontId="5" fillId="0" borderId="7" xfId="0" applyFont="1" applyBorder="1"/>
    <xf numFmtId="0" fontId="14" fillId="0" borderId="0" xfId="0" applyFont="1" applyAlignment="1">
      <alignment horizontal="right"/>
    </xf>
    <xf numFmtId="0" fontId="5" fillId="0" borderId="1" xfId="0" applyFont="1" applyBorder="1"/>
    <xf numFmtId="0" fontId="23" fillId="0" borderId="0" xfId="0" applyFont="1"/>
    <xf numFmtId="0" fontId="2" fillId="0" borderId="6" xfId="0" applyFont="1" applyBorder="1" applyAlignment="1">
      <alignment horizontal="center"/>
    </xf>
    <xf numFmtId="0" fontId="2" fillId="13" borderId="6" xfId="0" applyFont="1" applyFill="1" applyBorder="1"/>
    <xf numFmtId="0" fontId="14" fillId="7" borderId="6" xfId="0" applyFont="1" applyFill="1" applyBorder="1" applyAlignment="1">
      <alignment horizontal="right"/>
    </xf>
    <xf numFmtId="0" fontId="14" fillId="8" borderId="6" xfId="0" applyFont="1" applyFill="1" applyBorder="1" applyAlignment="1">
      <alignment horizontal="right"/>
    </xf>
    <xf numFmtId="3" fontId="5" fillId="13" borderId="2" xfId="0" applyNumberFormat="1" applyFont="1" applyFill="1" applyBorder="1"/>
    <xf numFmtId="0" fontId="14" fillId="6" borderId="12" xfId="0" applyFont="1" applyFill="1" applyBorder="1" applyAlignment="1">
      <alignment horizontal="right"/>
    </xf>
    <xf numFmtId="0" fontId="5" fillId="0" borderId="5" xfId="0" applyNumberFormat="1" applyFont="1" applyFill="1" applyBorder="1"/>
    <xf numFmtId="0" fontId="18" fillId="0" borderId="5" xfId="0" applyFont="1" applyFill="1" applyBorder="1" applyAlignment="1">
      <alignment horizontal="left"/>
    </xf>
    <xf numFmtId="0" fontId="5" fillId="0" borderId="6" xfId="0" applyFont="1" applyBorder="1"/>
    <xf numFmtId="0" fontId="5" fillId="13" borderId="3" xfId="0" applyFont="1" applyFill="1" applyBorder="1"/>
    <xf numFmtId="0" fontId="14" fillId="0" borderId="10" xfId="0" applyFont="1" applyBorder="1"/>
    <xf numFmtId="0" fontId="14" fillId="0" borderId="13" xfId="0" applyFont="1" applyBorder="1"/>
    <xf numFmtId="0" fontId="14" fillId="0" borderId="3" xfId="0" applyFont="1" applyBorder="1"/>
    <xf numFmtId="0" fontId="14" fillId="0" borderId="5" xfId="0" applyFont="1" applyBorder="1"/>
    <xf numFmtId="0" fontId="5" fillId="0" borderId="14" xfId="0" applyFont="1" applyBorder="1"/>
    <xf numFmtId="0" fontId="14" fillId="0" borderId="4" xfId="0" applyFont="1" applyBorder="1"/>
    <xf numFmtId="0" fontId="5" fillId="0" borderId="11" xfId="0" applyFont="1" applyBorder="1"/>
    <xf numFmtId="0" fontId="24" fillId="0" borderId="5" xfId="0" applyFont="1" applyBorder="1"/>
    <xf numFmtId="0" fontId="16" fillId="0" borderId="0" xfId="0" applyFont="1"/>
    <xf numFmtId="0" fontId="5" fillId="0" borderId="0" xfId="0" applyFont="1" applyFill="1" applyBorder="1"/>
    <xf numFmtId="0" fontId="5" fillId="0" borderId="0" xfId="0" applyFont="1"/>
    <xf numFmtId="0" fontId="5" fillId="0" borderId="0" xfId="0" applyFont="1" applyFill="1" applyBorder="1"/>
    <xf numFmtId="0" fontId="14" fillId="0" borderId="0" xfId="0" applyFont="1" applyAlignment="1">
      <alignment horizontal="right"/>
    </xf>
    <xf numFmtId="0" fontId="5" fillId="6" borderId="12" xfId="0" applyFont="1" applyFill="1" applyBorder="1"/>
    <xf numFmtId="0" fontId="5" fillId="4" borderId="2" xfId="0" applyFont="1" applyFill="1" applyBorder="1"/>
    <xf numFmtId="0" fontId="5" fillId="3" borderId="10" xfId="0" applyFont="1" applyFill="1" applyBorder="1"/>
    <xf numFmtId="0" fontId="5" fillId="7" borderId="12" xfId="0" applyFont="1" applyFill="1" applyBorder="1"/>
    <xf numFmtId="0" fontId="14" fillId="3" borderId="0" xfId="0" applyFont="1" applyFill="1"/>
    <xf numFmtId="10" fontId="0" fillId="0" borderId="0" xfId="0" applyNumberFormat="1" applyAlignment="1">
      <alignment horizontal="left"/>
    </xf>
    <xf numFmtId="0" fontId="5" fillId="0" borderId="0" xfId="0" applyFont="1"/>
    <xf numFmtId="0" fontId="14" fillId="0" borderId="0" xfId="0" applyFont="1" applyAlignment="1">
      <alignment horizontal="right"/>
    </xf>
    <xf numFmtId="0" fontId="5" fillId="0" borderId="0" xfId="0" applyFont="1"/>
    <xf numFmtId="0" fontId="5" fillId="0" borderId="0" xfId="0" applyFont="1"/>
    <xf numFmtId="0" fontId="14" fillId="0" borderId="1" xfId="0" applyFont="1" applyBorder="1"/>
    <xf numFmtId="0" fontId="0" fillId="0" borderId="0" xfId="0"/>
    <xf numFmtId="0" fontId="0" fillId="0" borderId="0" xfId="0" applyFill="1" applyBorder="1"/>
    <xf numFmtId="0" fontId="14" fillId="0" borderId="1" xfId="0" applyFont="1" applyBorder="1"/>
    <xf numFmtId="0" fontId="14" fillId="0" borderId="1" xfId="0" applyFont="1" applyBorder="1" applyAlignment="1">
      <alignment horizontal="center"/>
    </xf>
    <xf numFmtId="0" fontId="5" fillId="0" borderId="0" xfId="0" applyFont="1"/>
    <xf numFmtId="0" fontId="5" fillId="0" borderId="5" xfId="0" applyFont="1" applyFill="1" applyBorder="1"/>
    <xf numFmtId="0" fontId="5" fillId="0" borderId="0" xfId="0" applyFont="1" applyFill="1"/>
    <xf numFmtId="0" fontId="0" fillId="0" borderId="0" xfId="0" applyAlignment="1">
      <alignment horizontal="left"/>
    </xf>
    <xf numFmtId="0" fontId="12" fillId="0" borderId="0" xfId="0" applyFont="1" applyAlignment="1">
      <alignment horizontal="center"/>
    </xf>
    <xf numFmtId="0" fontId="13" fillId="0" borderId="0" xfId="0" applyFont="1" applyAlignment="1">
      <alignment horizontal="center"/>
    </xf>
    <xf numFmtId="0" fontId="0" fillId="0" borderId="0" xfId="0" applyAlignment="1">
      <alignment vertical="top" wrapText="1"/>
    </xf>
    <xf numFmtId="0" fontId="0" fillId="0" borderId="0" xfId="0"/>
    <xf numFmtId="0" fontId="0" fillId="0" borderId="0" xfId="0" applyAlignment="1">
      <alignment wrapText="1"/>
    </xf>
    <xf numFmtId="0" fontId="0" fillId="0" borderId="0" xfId="0" applyAlignment="1">
      <alignment vertical="top"/>
    </xf>
    <xf numFmtId="0" fontId="2" fillId="0" borderId="0" xfId="0" applyFont="1" applyAlignment="1">
      <alignment vertical="top" wrapText="1"/>
    </xf>
    <xf numFmtId="0" fontId="2" fillId="0" borderId="0" xfId="0" applyFont="1" applyAlignment="1">
      <alignment vertical="top"/>
    </xf>
    <xf numFmtId="0" fontId="14" fillId="0" borderId="1" xfId="0" applyFont="1" applyBorder="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0" fontId="5" fillId="0" borderId="0" xfId="0" applyFont="1" applyAlignment="1">
      <alignment vertical="center" wrapText="1"/>
    </xf>
    <xf numFmtId="0" fontId="14" fillId="0" borderId="1" xfId="0" applyFont="1" applyBorder="1"/>
    <xf numFmtId="0" fontId="14" fillId="0" borderId="8" xfId="0" applyFont="1" applyBorder="1" applyAlignment="1">
      <alignment horizont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5" fillId="0" borderId="0" xfId="0" applyFont="1"/>
    <xf numFmtId="43" fontId="14" fillId="0" borderId="1" xfId="0" applyNumberFormat="1"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right"/>
    </xf>
    <xf numFmtId="0" fontId="2" fillId="0" borderId="1" xfId="0" applyFont="1" applyBorder="1"/>
    <xf numFmtId="0" fontId="2" fillId="0" borderId="0" xfId="0" applyFont="1" applyFill="1" applyBorder="1"/>
    <xf numFmtId="0" fontId="0" fillId="0" borderId="0" xfId="0" applyFill="1" applyBorder="1"/>
    <xf numFmtId="0" fontId="2" fillId="0" borderId="1" xfId="0" applyFont="1" applyFill="1" applyBorder="1"/>
    <xf numFmtId="0" fontId="2" fillId="0" borderId="0" xfId="0" applyFont="1" applyBorder="1"/>
    <xf numFmtId="0" fontId="2" fillId="0" borderId="0" xfId="0" applyFont="1"/>
    <xf numFmtId="0" fontId="2" fillId="0" borderId="11" xfId="0" applyFont="1" applyBorder="1"/>
    <xf numFmtId="0" fontId="10" fillId="0" borderId="0" xfId="0" applyFont="1" applyAlignment="1">
      <alignment horizontal="right"/>
    </xf>
    <xf numFmtId="0" fontId="11" fillId="0" borderId="0" xfId="0" applyFont="1" applyAlignment="1">
      <alignment horizontal="left"/>
    </xf>
    <xf numFmtId="0" fontId="2" fillId="0" borderId="0" xfId="0" applyFont="1" applyAlignment="1">
      <alignment horizontal="left" vertical="center"/>
    </xf>
    <xf numFmtId="0" fontId="2" fillId="0" borderId="1" xfId="0" applyFont="1" applyBorder="1" applyAlignment="1">
      <alignment horizontal="left"/>
    </xf>
    <xf numFmtId="0" fontId="10" fillId="0" borderId="0" xfId="0" applyFont="1" applyAlignment="1">
      <alignment horizontal="left"/>
    </xf>
    <xf numFmtId="0" fontId="14" fillId="8" borderId="1" xfId="0" applyFont="1" applyFill="1" applyBorder="1" applyAlignment="1">
      <alignment horizontal="left"/>
    </xf>
    <xf numFmtId="0" fontId="5" fillId="8" borderId="0" xfId="0" applyFont="1" applyFill="1" applyBorder="1" applyAlignment="1">
      <alignment horizontal="left"/>
    </xf>
    <xf numFmtId="0" fontId="14" fillId="11" borderId="1" xfId="0" applyFont="1" applyFill="1" applyBorder="1"/>
    <xf numFmtId="0" fontId="5" fillId="11" borderId="0" xfId="0" applyFont="1" applyFill="1"/>
    <xf numFmtId="0" fontId="14" fillId="0" borderId="1" xfId="0" applyFont="1" applyFill="1" applyBorder="1" applyAlignment="1">
      <alignment horizontal="left"/>
    </xf>
    <xf numFmtId="0" fontId="14" fillId="0" borderId="11" xfId="0" applyFont="1" applyBorder="1" applyAlignment="1">
      <alignment horizontal="right"/>
    </xf>
    <xf numFmtId="0" fontId="14" fillId="0" borderId="0" xfId="0" applyFont="1" applyBorder="1" applyAlignment="1">
      <alignment horizontal="right"/>
    </xf>
    <xf numFmtId="0" fontId="14" fillId="8" borderId="1" xfId="0" applyFont="1" applyFill="1" applyBorder="1"/>
    <xf numFmtId="0" fontId="5" fillId="8" borderId="11" xfId="0" applyFont="1" applyFill="1" applyBorder="1"/>
    <xf numFmtId="0" fontId="14" fillId="9" borderId="1" xfId="0" applyFont="1" applyFill="1" applyBorder="1"/>
    <xf numFmtId="0" fontId="14" fillId="0" borderId="1" xfId="0" applyFont="1" applyFill="1" applyBorder="1"/>
    <xf numFmtId="0" fontId="5" fillId="9" borderId="11" xfId="0" applyFont="1" applyFill="1" applyBorder="1"/>
    <xf numFmtId="0" fontId="5" fillId="10" borderId="0" xfId="0" applyFont="1" applyFill="1" applyBorder="1"/>
    <xf numFmtId="0" fontId="5" fillId="11" borderId="0" xfId="0" applyFont="1" applyFill="1" applyBorder="1"/>
    <xf numFmtId="0" fontId="5" fillId="8" borderId="0" xfId="0" applyFont="1" applyFill="1" applyBorder="1"/>
    <xf numFmtId="0" fontId="14" fillId="0" borderId="0" xfId="0" applyFont="1" applyFill="1"/>
    <xf numFmtId="0" fontId="5" fillId="9" borderId="0" xfId="0" applyFont="1" applyFill="1"/>
    <xf numFmtId="0" fontId="5" fillId="8" borderId="0" xfId="0" applyFont="1" applyFill="1"/>
    <xf numFmtId="0" fontId="5" fillId="10" borderId="0" xfId="0" applyFont="1" applyFill="1"/>
    <xf numFmtId="0" fontId="14" fillId="8" borderId="0" xfId="0" applyFont="1" applyFill="1" applyBorder="1"/>
    <xf numFmtId="0" fontId="14" fillId="0" borderId="0" xfId="0" applyFont="1" applyFill="1" applyBorder="1" applyAlignment="1">
      <alignment horizontal="left"/>
    </xf>
    <xf numFmtId="0" fontId="5" fillId="10" borderId="11" xfId="0" applyFont="1" applyFill="1" applyBorder="1"/>
    <xf numFmtId="0" fontId="14" fillId="0" borderId="11" xfId="0" applyFont="1" applyFill="1" applyBorder="1" applyAlignment="1">
      <alignment horizontal="right"/>
    </xf>
    <xf numFmtId="0" fontId="14" fillId="10" borderId="1" xfId="0" applyFont="1" applyFill="1" applyBorder="1"/>
    <xf numFmtId="0" fontId="14" fillId="10" borderId="0" xfId="0" applyFont="1" applyFill="1" applyBorder="1"/>
    <xf numFmtId="0" fontId="14" fillId="0" borderId="1" xfId="0" applyFont="1" applyFill="1" applyBorder="1" applyAlignment="1">
      <alignment horizontal="center"/>
    </xf>
    <xf numFmtId="0" fontId="5" fillId="4" borderId="9" xfId="0" applyFont="1" applyFill="1" applyBorder="1"/>
    <xf numFmtId="0" fontId="5" fillId="4" borderId="11" xfId="0" applyFont="1" applyFill="1" applyBorder="1"/>
    <xf numFmtId="0" fontId="5" fillId="4" borderId="7" xfId="0" applyFont="1" applyFill="1" applyBorder="1"/>
    <xf numFmtId="0" fontId="5" fillId="4" borderId="0" xfId="0" applyFont="1" applyFill="1"/>
    <xf numFmtId="0" fontId="5" fillId="4" borderId="6" xfId="0" applyFont="1" applyFill="1" applyBorder="1"/>
    <xf numFmtId="0" fontId="5" fillId="4" borderId="1" xfId="0" applyFont="1" applyFill="1" applyBorder="1"/>
    <xf numFmtId="0" fontId="5" fillId="3" borderId="9" xfId="0" applyFont="1" applyFill="1" applyBorder="1"/>
    <xf numFmtId="0" fontId="5" fillId="3" borderId="11" xfId="0" applyFont="1" applyFill="1" applyBorder="1"/>
    <xf numFmtId="0" fontId="5" fillId="3" borderId="7" xfId="0" applyFont="1" applyFill="1" applyBorder="1"/>
    <xf numFmtId="0" fontId="5" fillId="3" borderId="0" xfId="0" applyFont="1" applyFill="1"/>
    <xf numFmtId="0" fontId="5" fillId="3" borderId="6" xfId="0" applyFont="1" applyFill="1" applyBorder="1"/>
    <xf numFmtId="0" fontId="5" fillId="3" borderId="1" xfId="0" applyFont="1" applyFill="1" applyBorder="1"/>
    <xf numFmtId="0" fontId="14" fillId="0" borderId="9" xfId="0" applyFont="1" applyBorder="1" applyAlignment="1">
      <alignment horizontal="right"/>
    </xf>
    <xf numFmtId="0" fontId="5" fillId="4" borderId="0" xfId="0" applyFont="1" applyFill="1" applyBorder="1"/>
    <xf numFmtId="0" fontId="14" fillId="0" borderId="0" xfId="0" applyFont="1" applyAlignment="1">
      <alignment horizontal="right"/>
    </xf>
    <xf numFmtId="0" fontId="14" fillId="0" borderId="0" xfId="0" applyFont="1" applyAlignment="1">
      <alignment horizontal="left"/>
    </xf>
    <xf numFmtId="0" fontId="14" fillId="8" borderId="11" xfId="0" applyFont="1" applyFill="1" applyBorder="1"/>
    <xf numFmtId="0" fontId="14" fillId="9" borderId="0" xfId="0" applyFont="1" applyFill="1" applyBorder="1"/>
    <xf numFmtId="0" fontId="5" fillId="9" borderId="0" xfId="0" applyFont="1" applyFill="1" applyBorder="1"/>
    <xf numFmtId="0" fontId="23" fillId="0" borderId="7" xfId="0" applyFont="1" applyBorder="1" applyAlignment="1">
      <alignment horizontal="right"/>
    </xf>
    <xf numFmtId="0" fontId="23" fillId="0" borderId="0" xfId="0" applyFont="1" applyAlignment="1">
      <alignment horizontal="right"/>
    </xf>
    <xf numFmtId="0" fontId="14" fillId="11" borderId="0" xfId="0" applyFont="1" applyFill="1" applyBorder="1"/>
    <xf numFmtId="0" fontId="14" fillId="0" borderId="6" xfId="0" applyFont="1" applyBorder="1" applyAlignment="1">
      <alignment horizontal="center"/>
    </xf>
    <xf numFmtId="0" fontId="5" fillId="6" borderId="0" xfId="0" applyFont="1" applyFill="1"/>
    <xf numFmtId="0" fontId="14" fillId="0" borderId="13" xfId="0" applyFont="1" applyBorder="1" applyAlignment="1">
      <alignment horizontal="center"/>
    </xf>
    <xf numFmtId="0" fontId="5" fillId="0" borderId="0" xfId="0" applyFont="1" applyAlignment="1">
      <alignment horizontal="right"/>
    </xf>
    <xf numFmtId="0" fontId="14" fillId="0" borderId="1" xfId="0" applyFont="1" applyBorder="1" applyAlignment="1">
      <alignment horizontal="right"/>
    </xf>
    <xf numFmtId="0" fontId="5" fillId="3" borderId="0" xfId="0" applyFont="1" applyFill="1" applyBorder="1"/>
    <xf numFmtId="0" fontId="5" fillId="0" borderId="0" xfId="0" applyFont="1" applyFill="1" applyBorder="1"/>
    <xf numFmtId="0" fontId="5" fillId="6" borderId="7" xfId="0" applyFont="1" applyFill="1" applyBorder="1"/>
    <xf numFmtId="0" fontId="5" fillId="7" borderId="7" xfId="0" applyFont="1" applyFill="1" applyBorder="1"/>
    <xf numFmtId="0" fontId="5" fillId="7" borderId="0" xfId="0" applyFont="1" applyFill="1" applyBorder="1"/>
    <xf numFmtId="0" fontId="2" fillId="3" borderId="0" xfId="0" applyFont="1" applyFill="1" applyAlignment="1">
      <alignment horizontal="center"/>
    </xf>
  </cellXfs>
  <cellStyles count="3">
    <cellStyle name="Comma" xfId="1" builtinId="3"/>
    <cellStyle name="Normal" xfId="0" builtinId="0"/>
    <cellStyle name="Percent" xfId="2" builtinId="5"/>
  </cellStyles>
  <dxfs count="22">
    <dxf>
      <fill>
        <patternFill>
          <bgColor rgb="FF92D050"/>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H$1" lockText="1" noThreeD="1"/>
</file>

<file path=xl/ctrlProps/ctrlProp10.xml><?xml version="1.0" encoding="utf-8"?>
<formControlPr xmlns="http://schemas.microsoft.com/office/spreadsheetml/2009/9/main" objectType="CheckBox" fmlaLink="$M$2" lockText="1" noThreeD="1"/>
</file>

<file path=xl/ctrlProps/ctrlProp11.xml><?xml version="1.0" encoding="utf-8"?>
<formControlPr xmlns="http://schemas.microsoft.com/office/spreadsheetml/2009/9/main" objectType="CheckBox" fmlaLink="$Q$2" lockText="1" noThreeD="1"/>
</file>

<file path=xl/ctrlProps/ctrlProp12.xml><?xml version="1.0" encoding="utf-8"?>
<formControlPr xmlns="http://schemas.microsoft.com/office/spreadsheetml/2009/9/main" objectType="CheckBox" fmlaLink="$M$3" lockText="1" noThreeD="1"/>
</file>

<file path=xl/ctrlProps/ctrlProp13.xml><?xml version="1.0" encoding="utf-8"?>
<formControlPr xmlns="http://schemas.microsoft.com/office/spreadsheetml/2009/9/main" objectType="CheckBox" fmlaLink="$M$4" lockText="1" noThreeD="1"/>
</file>

<file path=xl/ctrlProps/ctrlProp14.xml><?xml version="1.0" encoding="utf-8"?>
<formControlPr xmlns="http://schemas.microsoft.com/office/spreadsheetml/2009/9/main" objectType="CheckBox" fmlaLink="$M$6" lockText="1" noThreeD="1"/>
</file>

<file path=xl/ctrlProps/ctrlProp15.xml><?xml version="1.0" encoding="utf-8"?>
<formControlPr xmlns="http://schemas.microsoft.com/office/spreadsheetml/2009/9/main" objectType="CheckBox" fmlaLink="$M$7" lockText="1" noThreeD="1"/>
</file>

<file path=xl/ctrlProps/ctrlProp16.xml><?xml version="1.0" encoding="utf-8"?>
<formControlPr xmlns="http://schemas.microsoft.com/office/spreadsheetml/2009/9/main" objectType="CheckBox" fmlaLink="$M$8" lockText="1" noThreeD="1"/>
</file>

<file path=xl/ctrlProps/ctrlProp17.xml><?xml version="1.0" encoding="utf-8"?>
<formControlPr xmlns="http://schemas.microsoft.com/office/spreadsheetml/2009/9/main" objectType="CheckBox" fmlaLink="$Q$3" lockText="1" noThreeD="1"/>
</file>

<file path=xl/ctrlProps/ctrlProp18.xml><?xml version="1.0" encoding="utf-8"?>
<formControlPr xmlns="http://schemas.microsoft.com/office/spreadsheetml/2009/9/main" objectType="CheckBox" fmlaLink="$Q$4" lockText="1" noThreeD="1"/>
</file>

<file path=xl/ctrlProps/ctrlProp19.xml><?xml version="1.0" encoding="utf-8"?>
<formControlPr xmlns="http://schemas.microsoft.com/office/spreadsheetml/2009/9/main" objectType="CheckBox" fmlaLink="$Q$5" lockText="1" noThreeD="1"/>
</file>

<file path=xl/ctrlProps/ctrlProp2.xml><?xml version="1.0" encoding="utf-8"?>
<formControlPr xmlns="http://schemas.microsoft.com/office/spreadsheetml/2009/9/main" objectType="CheckBox" fmlaLink="$K$3" lockText="1" noThreeD="1"/>
</file>

<file path=xl/ctrlProps/ctrlProp20.xml><?xml version="1.0" encoding="utf-8"?>
<formControlPr xmlns="http://schemas.microsoft.com/office/spreadsheetml/2009/9/main" objectType="CheckBox" fmlaLink="$Q$7" lockText="1" noThreeD="1"/>
</file>

<file path=xl/ctrlProps/ctrlProp21.xml><?xml version="1.0" encoding="utf-8"?>
<formControlPr xmlns="http://schemas.microsoft.com/office/spreadsheetml/2009/9/main" objectType="CheckBox" fmlaLink="$Q$10" lockText="1" noThreeD="1"/>
</file>

<file path=xl/ctrlProps/ctrlProp22.xml><?xml version="1.0" encoding="utf-8"?>
<formControlPr xmlns="http://schemas.microsoft.com/office/spreadsheetml/2009/9/main" objectType="CheckBox" fmlaLink="$Q$11" lockText="1" noThreeD="1"/>
</file>

<file path=xl/ctrlProps/ctrlProp23.xml><?xml version="1.0" encoding="utf-8"?>
<formControlPr xmlns="http://schemas.microsoft.com/office/spreadsheetml/2009/9/main" objectType="CheckBox" fmlaLink="$Q$8" lockText="1" noThreeD="1"/>
</file>

<file path=xl/ctrlProps/ctrlProp24.xml><?xml version="1.0" encoding="utf-8"?>
<formControlPr xmlns="http://schemas.microsoft.com/office/spreadsheetml/2009/9/main" objectType="CheckBox" fmlaLink="$Q$9" lockText="1" noThreeD="1"/>
</file>

<file path=xl/ctrlProps/ctrlProp25.xml><?xml version="1.0" encoding="utf-8"?>
<formControlPr xmlns="http://schemas.microsoft.com/office/spreadsheetml/2009/9/main" objectType="CheckBox" fmlaLink="$F$11" lockText="1" noThreeD="1"/>
</file>

<file path=xl/ctrlProps/ctrlProp26.xml><?xml version="1.0" encoding="utf-8"?>
<formControlPr xmlns="http://schemas.microsoft.com/office/spreadsheetml/2009/9/main" objectType="CheckBox" fmlaLink="$F$10" lockText="1" noThreeD="1"/>
</file>

<file path=xl/ctrlProps/ctrlProp27.xml><?xml version="1.0" encoding="utf-8"?>
<formControlPr xmlns="http://schemas.microsoft.com/office/spreadsheetml/2009/9/main" objectType="CheckBox" fmlaLink="$M$10" lockText="1" noThreeD="1"/>
</file>

<file path=xl/ctrlProps/ctrlProp28.xml><?xml version="1.0" encoding="utf-8"?>
<formControlPr xmlns="http://schemas.microsoft.com/office/spreadsheetml/2009/9/main" objectType="CheckBox" fmlaLink="$M$11" lockText="1" noThreeD="1"/>
</file>

<file path=xl/ctrlProps/ctrlProp29.xml><?xml version="1.0" encoding="utf-8"?>
<formControlPr xmlns="http://schemas.microsoft.com/office/spreadsheetml/2009/9/main" objectType="CheckBox" fmlaLink="$M$12" lockText="1" noThreeD="1"/>
</file>

<file path=xl/ctrlProps/ctrlProp3.xml><?xml version="1.0" encoding="utf-8"?>
<formControlPr xmlns="http://schemas.microsoft.com/office/spreadsheetml/2009/9/main" objectType="CheckBox" fmlaLink="$K$2" lockText="1" noThreeD="1"/>
</file>

<file path=xl/ctrlProps/ctrlProp30.xml><?xml version="1.0" encoding="utf-8"?>
<formControlPr xmlns="http://schemas.microsoft.com/office/spreadsheetml/2009/9/main" objectType="CheckBox" fmlaLink="$M$13" lockText="1" noThreeD="1"/>
</file>

<file path=xl/ctrlProps/ctrlProp31.xml><?xml version="1.0" encoding="utf-8"?>
<formControlPr xmlns="http://schemas.microsoft.com/office/spreadsheetml/2009/9/main" objectType="CheckBox" fmlaLink="$M$5" lockText="1" noThreeD="1"/>
</file>

<file path=xl/ctrlProps/ctrlProp32.xml><?xml version="1.0" encoding="utf-8"?>
<formControlPr xmlns="http://schemas.microsoft.com/office/spreadsheetml/2009/9/main" objectType="CheckBox" fmlaLink="$U$2" lockText="1" noThreeD="1"/>
</file>

<file path=xl/ctrlProps/ctrlProp33.xml><?xml version="1.0" encoding="utf-8"?>
<formControlPr xmlns="http://schemas.microsoft.com/office/spreadsheetml/2009/9/main" objectType="CheckBox" fmlaLink="$U$3" lockText="1" noThreeD="1"/>
</file>

<file path=xl/ctrlProps/ctrlProp34.xml><?xml version="1.0" encoding="utf-8"?>
<formControlPr xmlns="http://schemas.microsoft.com/office/spreadsheetml/2009/9/main" objectType="CheckBox" fmlaLink="$U$4" lockText="1" noThreeD="1"/>
</file>

<file path=xl/ctrlProps/ctrlProp35.xml><?xml version="1.0" encoding="utf-8"?>
<formControlPr xmlns="http://schemas.microsoft.com/office/spreadsheetml/2009/9/main" objectType="CheckBox" fmlaLink="$U$5" lockText="1" noThreeD="1"/>
</file>

<file path=xl/ctrlProps/ctrlProp36.xml><?xml version="1.0" encoding="utf-8"?>
<formControlPr xmlns="http://schemas.microsoft.com/office/spreadsheetml/2009/9/main" objectType="CheckBox" fmlaLink="$W$20" lockText="1" noThreeD="1"/>
</file>

<file path=xl/ctrlProps/ctrlProp37.xml><?xml version="1.0" encoding="utf-8"?>
<formControlPr xmlns="http://schemas.microsoft.com/office/spreadsheetml/2009/9/main" objectType="CheckBox" fmlaLink="$W$21" lockText="1" noThreeD="1"/>
</file>

<file path=xl/ctrlProps/ctrlProp38.xml><?xml version="1.0" encoding="utf-8"?>
<formControlPr xmlns="http://schemas.microsoft.com/office/spreadsheetml/2009/9/main" objectType="CheckBox" fmlaLink="$U$6" lockText="1" noThreeD="1"/>
</file>

<file path=xl/ctrlProps/ctrlProp39.xml><?xml version="1.0" encoding="utf-8"?>
<formControlPr xmlns="http://schemas.microsoft.com/office/spreadsheetml/2009/9/main" objectType="CheckBox" fmlaLink="$U$7" lockText="1" noThreeD="1"/>
</file>

<file path=xl/ctrlProps/ctrlProp4.xml><?xml version="1.0" encoding="utf-8"?>
<formControlPr xmlns="http://schemas.microsoft.com/office/spreadsheetml/2009/9/main" objectType="CheckBox" fmlaLink="$K$4" lockText="1" noThreeD="1"/>
</file>

<file path=xl/ctrlProps/ctrlProp40.xml><?xml version="1.0" encoding="utf-8"?>
<formControlPr xmlns="http://schemas.microsoft.com/office/spreadsheetml/2009/9/main" objectType="CheckBox" fmlaLink="$U$9" lockText="1" noThreeD="1"/>
</file>

<file path=xl/ctrlProps/ctrlProp41.xml><?xml version="1.0" encoding="utf-8"?>
<formControlPr xmlns="http://schemas.microsoft.com/office/spreadsheetml/2009/9/main" objectType="CheckBox" fmlaLink="$U$10" lockText="1" noThreeD="1"/>
</file>

<file path=xl/ctrlProps/ctrlProp42.xml><?xml version="1.0" encoding="utf-8"?>
<formControlPr xmlns="http://schemas.microsoft.com/office/spreadsheetml/2009/9/main" objectType="CheckBox" fmlaLink="$U$11" lockText="1" noThreeD="1"/>
</file>

<file path=xl/ctrlProps/ctrlProp43.xml><?xml version="1.0" encoding="utf-8"?>
<formControlPr xmlns="http://schemas.microsoft.com/office/spreadsheetml/2009/9/main" objectType="CheckBox" fmlaLink="$U$12" lockText="1" noThreeD="1"/>
</file>

<file path=xl/ctrlProps/ctrlProp44.xml><?xml version="1.0" encoding="utf-8"?>
<formControlPr xmlns="http://schemas.microsoft.com/office/spreadsheetml/2009/9/main" objectType="CheckBox" fmlaLink="$U$13" lockText="1" noThreeD="1"/>
</file>

<file path=xl/ctrlProps/ctrlProp45.xml><?xml version="1.0" encoding="utf-8"?>
<formControlPr xmlns="http://schemas.microsoft.com/office/spreadsheetml/2009/9/main" objectType="CheckBox" fmlaLink="$W$14" lockText="1" noThreeD="1"/>
</file>

<file path=xl/ctrlProps/ctrlProp46.xml><?xml version="1.0" encoding="utf-8"?>
<formControlPr xmlns="http://schemas.microsoft.com/office/spreadsheetml/2009/9/main" objectType="CheckBox" fmlaLink="$U$18" lockText="1" noThreeD="1"/>
</file>

<file path=xl/ctrlProps/ctrlProp47.xml><?xml version="1.0" encoding="utf-8"?>
<formControlPr xmlns="http://schemas.microsoft.com/office/spreadsheetml/2009/9/main" objectType="CheckBox" fmlaLink="$U$14" lockText="1" noThreeD="1"/>
</file>

<file path=xl/ctrlProps/ctrlProp48.xml><?xml version="1.0" encoding="utf-8"?>
<formControlPr xmlns="http://schemas.microsoft.com/office/spreadsheetml/2009/9/main" objectType="CheckBox" fmlaLink="$U$17" lockText="1" noThreeD="1"/>
</file>

<file path=xl/ctrlProps/ctrlProp49.xml><?xml version="1.0" encoding="utf-8"?>
<formControlPr xmlns="http://schemas.microsoft.com/office/spreadsheetml/2009/9/main" objectType="CheckBox" fmlaLink="$U$8" lockText="1" noThreeD="1"/>
</file>

<file path=xl/ctrlProps/ctrlProp5.xml><?xml version="1.0" encoding="utf-8"?>
<formControlPr xmlns="http://schemas.microsoft.com/office/spreadsheetml/2009/9/main" objectType="CheckBox" fmlaLink="$F$8" lockText="1" noThreeD="1"/>
</file>

<file path=xl/ctrlProps/ctrlProp50.xml><?xml version="1.0" encoding="utf-8"?>
<formControlPr xmlns="http://schemas.microsoft.com/office/spreadsheetml/2009/9/main" objectType="CheckBox" fmlaLink="$W$14" lockText="1" noThreeD="1"/>
</file>

<file path=xl/ctrlProps/ctrlProp51.xml><?xml version="1.0" encoding="utf-8"?>
<formControlPr xmlns="http://schemas.microsoft.com/office/spreadsheetml/2009/9/main" objectType="CheckBox" fmlaLink="$U$15" lockText="1" noThreeD="1"/>
</file>

<file path=xl/ctrlProps/ctrlProp52.xml><?xml version="1.0" encoding="utf-8"?>
<formControlPr xmlns="http://schemas.microsoft.com/office/spreadsheetml/2009/9/main" objectType="CheckBox" fmlaLink="$F$12" lockText="1" noThreeD="1"/>
</file>

<file path=xl/ctrlProps/ctrlProp53.xml><?xml version="1.0" encoding="utf-8"?>
<formControlPr xmlns="http://schemas.microsoft.com/office/spreadsheetml/2009/9/main" objectType="CheckBox" fmlaLink="$F$13" lockText="1" noThreeD="1"/>
</file>

<file path=xl/ctrlProps/ctrlProp54.xml><?xml version="1.0" encoding="utf-8"?>
<formControlPr xmlns="http://schemas.microsoft.com/office/spreadsheetml/2009/9/main" objectType="CheckBox" fmlaLink="$W$14" lockText="1" noThreeD="1"/>
</file>

<file path=xl/ctrlProps/ctrlProp55.xml><?xml version="1.0" encoding="utf-8"?>
<formControlPr xmlns="http://schemas.microsoft.com/office/spreadsheetml/2009/9/main" objectType="CheckBox" fmlaLink="$U$16" lockText="1" noThreeD="1"/>
</file>

<file path=xl/ctrlProps/ctrlProp56.xml><?xml version="1.0" encoding="utf-8"?>
<formControlPr xmlns="http://schemas.microsoft.com/office/spreadsheetml/2009/9/main" objectType="CheckBox" fmlaLink="$H$149" lockText="1" noThreeD="1"/>
</file>

<file path=xl/ctrlProps/ctrlProp6.xml><?xml version="1.0" encoding="utf-8"?>
<formControlPr xmlns="http://schemas.microsoft.com/office/spreadsheetml/2009/9/main" objectType="CheckBox" fmlaLink="$F$7" lockText="1" noThreeD="1"/>
</file>

<file path=xl/ctrlProps/ctrlProp7.xml><?xml version="1.0" encoding="utf-8"?>
<formControlPr xmlns="http://schemas.microsoft.com/office/spreadsheetml/2009/9/main" objectType="CheckBox" fmlaLink="$F$9" lockText="1" noThreeD="1"/>
</file>

<file path=xl/ctrlProps/ctrlProp8.xml><?xml version="1.0" encoding="utf-8"?>
<formControlPr xmlns="http://schemas.microsoft.com/office/spreadsheetml/2009/9/main" objectType="CheckBox" fmlaLink="$H$130" lockText="1" noThreeD="1"/>
</file>

<file path=xl/ctrlProps/ctrlProp9.xml><?xml version="1.0" encoding="utf-8"?>
<formControlPr xmlns="http://schemas.microsoft.com/office/spreadsheetml/2009/9/main" objectType="CheckBox" fmlaLink="$H$14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0</xdr:row>
          <xdr:rowOff>0</xdr:rowOff>
        </xdr:from>
        <xdr:to>
          <xdr:col>7</xdr:col>
          <xdr:colOff>676275</xdr:colOff>
          <xdr:row>1</xdr:row>
          <xdr:rowOff>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xdr:row>
          <xdr:rowOff>9525</xdr:rowOff>
        </xdr:from>
        <xdr:to>
          <xdr:col>10</xdr:col>
          <xdr:colOff>600075</xdr:colOff>
          <xdr:row>2</xdr:row>
          <xdr:rowOff>180975</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xdr:row>
          <xdr:rowOff>9525</xdr:rowOff>
        </xdr:from>
        <xdr:to>
          <xdr:col>10</xdr:col>
          <xdr:colOff>600075</xdr:colOff>
          <xdr:row>2</xdr:row>
          <xdr:rowOff>0</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xdr:row>
          <xdr:rowOff>9525</xdr:rowOff>
        </xdr:from>
        <xdr:to>
          <xdr:col>10</xdr:col>
          <xdr:colOff>600075</xdr:colOff>
          <xdr:row>3</xdr:row>
          <xdr:rowOff>180975</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7</xdr:row>
          <xdr:rowOff>9525</xdr:rowOff>
        </xdr:from>
        <xdr:to>
          <xdr:col>5</xdr:col>
          <xdr:colOff>552450</xdr:colOff>
          <xdr:row>7</xdr:row>
          <xdr:rowOff>142875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9525</xdr:rowOff>
        </xdr:from>
        <xdr:to>
          <xdr:col>5</xdr:col>
          <xdr:colOff>552450</xdr:colOff>
          <xdr:row>7</xdr:row>
          <xdr:rowOff>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xdr:row>
          <xdr:rowOff>9525</xdr:rowOff>
        </xdr:from>
        <xdr:to>
          <xdr:col>5</xdr:col>
          <xdr:colOff>552450</xdr:colOff>
          <xdr:row>8</xdr:row>
          <xdr:rowOff>142875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129</xdr:row>
          <xdr:rowOff>0</xdr:rowOff>
        </xdr:from>
        <xdr:to>
          <xdr:col>8</xdr:col>
          <xdr:colOff>9525</xdr:colOff>
          <xdr:row>130</xdr:row>
          <xdr:rowOff>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142</xdr:row>
          <xdr:rowOff>0</xdr:rowOff>
        </xdr:from>
        <xdr:to>
          <xdr:col>8</xdr:col>
          <xdr:colOff>0</xdr:colOff>
          <xdr:row>142</xdr:row>
          <xdr:rowOff>142875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xdr:row>
          <xdr:rowOff>9525</xdr:rowOff>
        </xdr:from>
        <xdr:to>
          <xdr:col>13</xdr:col>
          <xdr:colOff>0</xdr:colOff>
          <xdr:row>1</xdr:row>
          <xdr:rowOff>142875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xdr:row>
          <xdr:rowOff>9525</xdr:rowOff>
        </xdr:from>
        <xdr:to>
          <xdr:col>16</xdr:col>
          <xdr:colOff>485775</xdr:colOff>
          <xdr:row>1</xdr:row>
          <xdr:rowOff>142875</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xdr:row>
          <xdr:rowOff>9525</xdr:rowOff>
        </xdr:from>
        <xdr:to>
          <xdr:col>13</xdr:col>
          <xdr:colOff>0</xdr:colOff>
          <xdr:row>2</xdr:row>
          <xdr:rowOff>142875</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xdr:row>
          <xdr:rowOff>9525</xdr:rowOff>
        </xdr:from>
        <xdr:to>
          <xdr:col>13</xdr:col>
          <xdr:colOff>0</xdr:colOff>
          <xdr:row>3</xdr:row>
          <xdr:rowOff>142875</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xdr:row>
          <xdr:rowOff>9525</xdr:rowOff>
        </xdr:from>
        <xdr:to>
          <xdr:col>13</xdr:col>
          <xdr:colOff>0</xdr:colOff>
          <xdr:row>5</xdr:row>
          <xdr:rowOff>142875</xdr:rowOff>
        </xdr:to>
        <xdr:sp macro="" textlink="">
          <xdr:nvSpPr>
            <xdr:cNvPr id="5135" name="Check Box 15" hidden="1">
              <a:extLst>
                <a:ext uri="{63B3BB69-23CF-44E3-9099-C40C66FF867C}">
                  <a14:compatExt spid="_x0000_s5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6</xdr:row>
          <xdr:rowOff>9525</xdr:rowOff>
        </xdr:from>
        <xdr:to>
          <xdr:col>13</xdr:col>
          <xdr:colOff>0</xdr:colOff>
          <xdr:row>6</xdr:row>
          <xdr:rowOff>142875</xdr:rowOff>
        </xdr:to>
        <xdr:sp macro="" textlink="">
          <xdr:nvSpPr>
            <xdr:cNvPr id="5136" name="Check Box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xdr:row>
          <xdr:rowOff>9525</xdr:rowOff>
        </xdr:from>
        <xdr:to>
          <xdr:col>13</xdr:col>
          <xdr:colOff>0</xdr:colOff>
          <xdr:row>7</xdr:row>
          <xdr:rowOff>142875</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xdr:row>
          <xdr:rowOff>9525</xdr:rowOff>
        </xdr:from>
        <xdr:to>
          <xdr:col>16</xdr:col>
          <xdr:colOff>485775</xdr:colOff>
          <xdr:row>2</xdr:row>
          <xdr:rowOff>142875</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xdr:row>
          <xdr:rowOff>9525</xdr:rowOff>
        </xdr:from>
        <xdr:to>
          <xdr:col>16</xdr:col>
          <xdr:colOff>485775</xdr:colOff>
          <xdr:row>3</xdr:row>
          <xdr:rowOff>142875</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xdr:row>
          <xdr:rowOff>9525</xdr:rowOff>
        </xdr:from>
        <xdr:to>
          <xdr:col>16</xdr:col>
          <xdr:colOff>485775</xdr:colOff>
          <xdr:row>4</xdr:row>
          <xdr:rowOff>142875</xdr:rowOff>
        </xdr:to>
        <xdr:sp macro="" textlink="">
          <xdr:nvSpPr>
            <xdr:cNvPr id="5140" name="Check Box 20" hidden="1">
              <a:extLst>
                <a:ext uri="{63B3BB69-23CF-44E3-9099-C40C66FF867C}">
                  <a14:compatExt spid="_x0000_s5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9525</xdr:rowOff>
        </xdr:from>
        <xdr:to>
          <xdr:col>16</xdr:col>
          <xdr:colOff>485775</xdr:colOff>
          <xdr:row>6</xdr:row>
          <xdr:rowOff>142875</xdr:rowOff>
        </xdr:to>
        <xdr:sp macro="" textlink="">
          <xdr:nvSpPr>
            <xdr:cNvPr id="5141" name="Check Box 21" hidden="1">
              <a:extLst>
                <a:ext uri="{63B3BB69-23CF-44E3-9099-C40C66FF867C}">
                  <a14:compatExt spid="_x0000_s5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9</xdr:row>
          <xdr:rowOff>9525</xdr:rowOff>
        </xdr:from>
        <xdr:to>
          <xdr:col>16</xdr:col>
          <xdr:colOff>485775</xdr:colOff>
          <xdr:row>9</xdr:row>
          <xdr:rowOff>142875</xdr:rowOff>
        </xdr:to>
        <xdr:sp macro="" textlink="">
          <xdr:nvSpPr>
            <xdr:cNvPr id="5142" name="Check Box 22" hidden="1">
              <a:extLst>
                <a:ext uri="{63B3BB69-23CF-44E3-9099-C40C66FF867C}">
                  <a14:compatExt spid="_x0000_s5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xdr:row>
          <xdr:rowOff>9525</xdr:rowOff>
        </xdr:from>
        <xdr:to>
          <xdr:col>16</xdr:col>
          <xdr:colOff>485775</xdr:colOff>
          <xdr:row>10</xdr:row>
          <xdr:rowOff>142875</xdr:rowOff>
        </xdr:to>
        <xdr:sp macro="" textlink="">
          <xdr:nvSpPr>
            <xdr:cNvPr id="5143" name="Check Box 23" hidden="1">
              <a:extLst>
                <a:ext uri="{63B3BB69-23CF-44E3-9099-C40C66FF867C}">
                  <a14:compatExt spid="_x0000_s5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xdr:row>
          <xdr:rowOff>9525</xdr:rowOff>
        </xdr:from>
        <xdr:to>
          <xdr:col>16</xdr:col>
          <xdr:colOff>485775</xdr:colOff>
          <xdr:row>7</xdr:row>
          <xdr:rowOff>142875</xdr:rowOff>
        </xdr:to>
        <xdr:sp macro="" textlink="">
          <xdr:nvSpPr>
            <xdr:cNvPr id="5144" name="Check Box 24" hidden="1">
              <a:extLst>
                <a:ext uri="{63B3BB69-23CF-44E3-9099-C40C66FF867C}">
                  <a14:compatExt spid="_x0000_s5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8</xdr:row>
          <xdr:rowOff>9525</xdr:rowOff>
        </xdr:from>
        <xdr:to>
          <xdr:col>16</xdr:col>
          <xdr:colOff>485775</xdr:colOff>
          <xdr:row>8</xdr:row>
          <xdr:rowOff>142875</xdr:rowOff>
        </xdr:to>
        <xdr:sp macro="" textlink="">
          <xdr:nvSpPr>
            <xdr:cNvPr id="5146" name="Check Box 26" hidden="1">
              <a:extLst>
                <a:ext uri="{63B3BB69-23CF-44E3-9099-C40C66FF867C}">
                  <a14:compatExt spid="_x0000_s5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9525</xdr:rowOff>
        </xdr:from>
        <xdr:to>
          <xdr:col>5</xdr:col>
          <xdr:colOff>552450</xdr:colOff>
          <xdr:row>10</xdr:row>
          <xdr:rowOff>142875</xdr:rowOff>
        </xdr:to>
        <xdr:sp macro="" textlink="">
          <xdr:nvSpPr>
            <xdr:cNvPr id="5147" name="Check Box 27" hidden="1">
              <a:extLst>
                <a:ext uri="{63B3BB69-23CF-44E3-9099-C40C66FF867C}">
                  <a14:compatExt spid="_x0000_s5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xdr:row>
          <xdr:rowOff>9525</xdr:rowOff>
        </xdr:from>
        <xdr:to>
          <xdr:col>5</xdr:col>
          <xdr:colOff>552450</xdr:colOff>
          <xdr:row>9</xdr:row>
          <xdr:rowOff>142875</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xdr:row>
          <xdr:rowOff>9525</xdr:rowOff>
        </xdr:from>
        <xdr:to>
          <xdr:col>13</xdr:col>
          <xdr:colOff>0</xdr:colOff>
          <xdr:row>9</xdr:row>
          <xdr:rowOff>142875</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xdr:row>
          <xdr:rowOff>9525</xdr:rowOff>
        </xdr:from>
        <xdr:to>
          <xdr:col>13</xdr:col>
          <xdr:colOff>0</xdr:colOff>
          <xdr:row>10</xdr:row>
          <xdr:rowOff>142875</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xdr:row>
          <xdr:rowOff>9525</xdr:rowOff>
        </xdr:from>
        <xdr:to>
          <xdr:col>13</xdr:col>
          <xdr:colOff>0</xdr:colOff>
          <xdr:row>11</xdr:row>
          <xdr:rowOff>142875</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xdr:row>
          <xdr:rowOff>9525</xdr:rowOff>
        </xdr:from>
        <xdr:to>
          <xdr:col>13</xdr:col>
          <xdr:colOff>0</xdr:colOff>
          <xdr:row>12</xdr:row>
          <xdr:rowOff>142875</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xdr:row>
          <xdr:rowOff>9525</xdr:rowOff>
        </xdr:from>
        <xdr:to>
          <xdr:col>13</xdr:col>
          <xdr:colOff>0</xdr:colOff>
          <xdr:row>4</xdr:row>
          <xdr:rowOff>142875</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xdr:row>
          <xdr:rowOff>9525</xdr:rowOff>
        </xdr:from>
        <xdr:to>
          <xdr:col>21</xdr:col>
          <xdr:colOff>0</xdr:colOff>
          <xdr:row>1</xdr:row>
          <xdr:rowOff>142875</xdr:rowOff>
        </xdr:to>
        <xdr:sp macro="" textlink="">
          <xdr:nvSpPr>
            <xdr:cNvPr id="5189" name="Check Box 69"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xdr:row>
          <xdr:rowOff>9525</xdr:rowOff>
        </xdr:from>
        <xdr:to>
          <xdr:col>21</xdr:col>
          <xdr:colOff>0</xdr:colOff>
          <xdr:row>2</xdr:row>
          <xdr:rowOff>142875</xdr:rowOff>
        </xdr:to>
        <xdr:sp macro="" textlink="">
          <xdr:nvSpPr>
            <xdr:cNvPr id="5190" name="Check Box 70"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xdr:row>
          <xdr:rowOff>9525</xdr:rowOff>
        </xdr:from>
        <xdr:to>
          <xdr:col>21</xdr:col>
          <xdr:colOff>0</xdr:colOff>
          <xdr:row>3</xdr:row>
          <xdr:rowOff>142875</xdr:rowOff>
        </xdr:to>
        <xdr:sp macro="" textlink="">
          <xdr:nvSpPr>
            <xdr:cNvPr id="5191" name="Check Box 71"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xdr:row>
          <xdr:rowOff>9525</xdr:rowOff>
        </xdr:from>
        <xdr:to>
          <xdr:col>21</xdr:col>
          <xdr:colOff>0</xdr:colOff>
          <xdr:row>4</xdr:row>
          <xdr:rowOff>142875</xdr:rowOff>
        </xdr:to>
        <xdr:sp macro="" textlink="">
          <xdr:nvSpPr>
            <xdr:cNvPr id="5192" name="Check Box 72"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xdr:row>
          <xdr:rowOff>9525</xdr:rowOff>
        </xdr:from>
        <xdr:to>
          <xdr:col>21</xdr:col>
          <xdr:colOff>0</xdr:colOff>
          <xdr:row>16</xdr:row>
          <xdr:rowOff>142875</xdr:rowOff>
        </xdr:to>
        <xdr:sp macro="" textlink="">
          <xdr:nvSpPr>
            <xdr:cNvPr id="5193" name="Check Box 73"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xdr:row>
          <xdr:rowOff>9525</xdr:rowOff>
        </xdr:from>
        <xdr:to>
          <xdr:col>21</xdr:col>
          <xdr:colOff>0</xdr:colOff>
          <xdr:row>17</xdr:row>
          <xdr:rowOff>142875</xdr:rowOff>
        </xdr:to>
        <xdr:sp macro="" textlink="">
          <xdr:nvSpPr>
            <xdr:cNvPr id="5194" name="Check Box 7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xdr:row>
          <xdr:rowOff>9525</xdr:rowOff>
        </xdr:from>
        <xdr:to>
          <xdr:col>21</xdr:col>
          <xdr:colOff>0</xdr:colOff>
          <xdr:row>5</xdr:row>
          <xdr:rowOff>142875</xdr:rowOff>
        </xdr:to>
        <xdr:sp macro="" textlink="">
          <xdr:nvSpPr>
            <xdr:cNvPr id="5195" name="Check Box 75" hidden="1">
              <a:extLst>
                <a:ext uri="{63B3BB69-23CF-44E3-9099-C40C66FF867C}">
                  <a14:compatExt spid="_x0000_s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xdr:row>
          <xdr:rowOff>9525</xdr:rowOff>
        </xdr:from>
        <xdr:to>
          <xdr:col>21</xdr:col>
          <xdr:colOff>0</xdr:colOff>
          <xdr:row>6</xdr:row>
          <xdr:rowOff>142875</xdr:rowOff>
        </xdr:to>
        <xdr:sp macro="" textlink="">
          <xdr:nvSpPr>
            <xdr:cNvPr id="5196" name="Check Box 76" hidden="1">
              <a:extLst>
                <a:ext uri="{63B3BB69-23CF-44E3-9099-C40C66FF867C}">
                  <a14:compatExt spid="_x0000_s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xdr:row>
          <xdr:rowOff>9525</xdr:rowOff>
        </xdr:from>
        <xdr:to>
          <xdr:col>21</xdr:col>
          <xdr:colOff>0</xdr:colOff>
          <xdr:row>8</xdr:row>
          <xdr:rowOff>142875</xdr:rowOff>
        </xdr:to>
        <xdr:sp macro="" textlink="">
          <xdr:nvSpPr>
            <xdr:cNvPr id="5197" name="Check Box 77" hidden="1">
              <a:extLst>
                <a:ext uri="{63B3BB69-23CF-44E3-9099-C40C66FF867C}">
                  <a14:compatExt spid="_x0000_s5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9</xdr:row>
          <xdr:rowOff>9525</xdr:rowOff>
        </xdr:from>
        <xdr:to>
          <xdr:col>21</xdr:col>
          <xdr:colOff>0</xdr:colOff>
          <xdr:row>9</xdr:row>
          <xdr:rowOff>142875</xdr:rowOff>
        </xdr:to>
        <xdr:sp macro="" textlink="">
          <xdr:nvSpPr>
            <xdr:cNvPr id="5198" name="Check Box 78" hidden="1">
              <a:extLst>
                <a:ext uri="{63B3BB69-23CF-44E3-9099-C40C66FF867C}">
                  <a14:compatExt spid="_x0000_s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xdr:row>
          <xdr:rowOff>9525</xdr:rowOff>
        </xdr:from>
        <xdr:to>
          <xdr:col>21</xdr:col>
          <xdr:colOff>0</xdr:colOff>
          <xdr:row>10</xdr:row>
          <xdr:rowOff>142875</xdr:rowOff>
        </xdr:to>
        <xdr:sp macro="" textlink="">
          <xdr:nvSpPr>
            <xdr:cNvPr id="5199" name="Check Box 79"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xdr:row>
          <xdr:rowOff>9525</xdr:rowOff>
        </xdr:from>
        <xdr:to>
          <xdr:col>21</xdr:col>
          <xdr:colOff>0</xdr:colOff>
          <xdr:row>11</xdr:row>
          <xdr:rowOff>142875</xdr:rowOff>
        </xdr:to>
        <xdr:sp macro="" textlink="">
          <xdr:nvSpPr>
            <xdr:cNvPr id="5200" name="Check Box 80"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xdr:row>
          <xdr:rowOff>9525</xdr:rowOff>
        </xdr:from>
        <xdr:to>
          <xdr:col>21</xdr:col>
          <xdr:colOff>0</xdr:colOff>
          <xdr:row>12</xdr:row>
          <xdr:rowOff>142875</xdr:rowOff>
        </xdr:to>
        <xdr:sp macro="" textlink="">
          <xdr:nvSpPr>
            <xdr:cNvPr id="5201" name="Check Box 81"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xdr:row>
          <xdr:rowOff>9525</xdr:rowOff>
        </xdr:from>
        <xdr:to>
          <xdr:col>21</xdr:col>
          <xdr:colOff>0</xdr:colOff>
          <xdr:row>13</xdr:row>
          <xdr:rowOff>142875</xdr:rowOff>
        </xdr:to>
        <xdr:sp macro="" textlink="">
          <xdr:nvSpPr>
            <xdr:cNvPr id="5202" name="Check Box 82" hidden="1">
              <a:extLst>
                <a:ext uri="{63B3BB69-23CF-44E3-9099-C40C66FF867C}">
                  <a14:compatExt spid="_x0000_s5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xdr:row>
          <xdr:rowOff>9525</xdr:rowOff>
        </xdr:from>
        <xdr:to>
          <xdr:col>21</xdr:col>
          <xdr:colOff>0</xdr:colOff>
          <xdr:row>17</xdr:row>
          <xdr:rowOff>142875</xdr:rowOff>
        </xdr:to>
        <xdr:sp macro="" textlink="">
          <xdr:nvSpPr>
            <xdr:cNvPr id="5203" name="Check Box 83" hidden="1">
              <a:extLst>
                <a:ext uri="{63B3BB69-23CF-44E3-9099-C40C66FF867C}">
                  <a14:compatExt spid="_x0000_s5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xdr:row>
          <xdr:rowOff>9525</xdr:rowOff>
        </xdr:from>
        <xdr:to>
          <xdr:col>21</xdr:col>
          <xdr:colOff>0</xdr:colOff>
          <xdr:row>13</xdr:row>
          <xdr:rowOff>142875</xdr:rowOff>
        </xdr:to>
        <xdr:sp macro="" textlink="">
          <xdr:nvSpPr>
            <xdr:cNvPr id="5204" name="Check Box 84" hidden="1">
              <a:extLst>
                <a:ext uri="{63B3BB69-23CF-44E3-9099-C40C66FF867C}">
                  <a14:compatExt spid="_x0000_s5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16</xdr:row>
          <xdr:rowOff>9525</xdr:rowOff>
        </xdr:from>
        <xdr:to>
          <xdr:col>21</xdr:col>
          <xdr:colOff>0</xdr:colOff>
          <xdr:row>16</xdr:row>
          <xdr:rowOff>142875</xdr:rowOff>
        </xdr:to>
        <xdr:sp macro="" textlink="">
          <xdr:nvSpPr>
            <xdr:cNvPr id="5205" name="Check Box 85" hidden="1">
              <a:extLst>
                <a:ext uri="{63B3BB69-23CF-44E3-9099-C40C66FF867C}">
                  <a14:compatExt spid="_x0000_s5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xdr:row>
          <xdr:rowOff>9525</xdr:rowOff>
        </xdr:from>
        <xdr:to>
          <xdr:col>21</xdr:col>
          <xdr:colOff>0</xdr:colOff>
          <xdr:row>7</xdr:row>
          <xdr:rowOff>142875</xdr:rowOff>
        </xdr:to>
        <xdr:sp macro="" textlink="">
          <xdr:nvSpPr>
            <xdr:cNvPr id="5207" name="Check Box 87"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xdr:row>
          <xdr:rowOff>9525</xdr:rowOff>
        </xdr:from>
        <xdr:to>
          <xdr:col>21</xdr:col>
          <xdr:colOff>0</xdr:colOff>
          <xdr:row>14</xdr:row>
          <xdr:rowOff>142875</xdr:rowOff>
        </xdr:to>
        <xdr:sp macro="" textlink="">
          <xdr:nvSpPr>
            <xdr:cNvPr id="5208" name="Check Box 88"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xdr:row>
          <xdr:rowOff>9525</xdr:rowOff>
        </xdr:from>
        <xdr:to>
          <xdr:col>21</xdr:col>
          <xdr:colOff>0</xdr:colOff>
          <xdr:row>14</xdr:row>
          <xdr:rowOff>142875</xdr:rowOff>
        </xdr:to>
        <xdr:sp macro="" textlink="">
          <xdr:nvSpPr>
            <xdr:cNvPr id="5209" name="Check Box 89"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9525</xdr:rowOff>
        </xdr:from>
        <xdr:to>
          <xdr:col>5</xdr:col>
          <xdr:colOff>552450</xdr:colOff>
          <xdr:row>11</xdr:row>
          <xdr:rowOff>142875</xdr:rowOff>
        </xdr:to>
        <xdr:sp macro="" textlink="">
          <xdr:nvSpPr>
            <xdr:cNvPr id="5210" name="Check Box 90"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12</xdr:row>
          <xdr:rowOff>9525</xdr:rowOff>
        </xdr:from>
        <xdr:to>
          <xdr:col>5</xdr:col>
          <xdr:colOff>552450</xdr:colOff>
          <xdr:row>12</xdr:row>
          <xdr:rowOff>142875</xdr:rowOff>
        </xdr:to>
        <xdr:sp macro="" textlink="">
          <xdr:nvSpPr>
            <xdr:cNvPr id="5211" name="Check Box 91"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xdr:row>
          <xdr:rowOff>9525</xdr:rowOff>
        </xdr:from>
        <xdr:to>
          <xdr:col>21</xdr:col>
          <xdr:colOff>0</xdr:colOff>
          <xdr:row>15</xdr:row>
          <xdr:rowOff>142875</xdr:rowOff>
        </xdr:to>
        <xdr:sp macro="" textlink="">
          <xdr:nvSpPr>
            <xdr:cNvPr id="5212" name="Check Box 92"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xdr:row>
          <xdr:rowOff>9525</xdr:rowOff>
        </xdr:from>
        <xdr:to>
          <xdr:col>21</xdr:col>
          <xdr:colOff>0</xdr:colOff>
          <xdr:row>15</xdr:row>
          <xdr:rowOff>142875</xdr:rowOff>
        </xdr:to>
        <xdr:sp macro="" textlink="">
          <xdr:nvSpPr>
            <xdr:cNvPr id="5213" name="Check Box 93"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148</xdr:row>
          <xdr:rowOff>0</xdr:rowOff>
        </xdr:from>
        <xdr:to>
          <xdr:col>8</xdr:col>
          <xdr:colOff>0</xdr:colOff>
          <xdr:row>148</xdr:row>
          <xdr:rowOff>142875</xdr:rowOff>
        </xdr:to>
        <xdr:sp macro="" textlink="">
          <xdr:nvSpPr>
            <xdr:cNvPr id="5214" name="Check Box 94"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9" Type="http://schemas.openxmlformats.org/officeDocument/2006/relationships/ctrlProp" Target="../ctrlProps/ctrlProp40.xml"/><Relationship Id="rId21" Type="http://schemas.openxmlformats.org/officeDocument/2006/relationships/ctrlProp" Target="../ctrlProps/ctrlProp22.xml"/><Relationship Id="rId34" Type="http://schemas.openxmlformats.org/officeDocument/2006/relationships/ctrlProp" Target="../ctrlProps/ctrlProp35.xml"/><Relationship Id="rId42" Type="http://schemas.openxmlformats.org/officeDocument/2006/relationships/ctrlProp" Target="../ctrlProps/ctrlProp43.xml"/><Relationship Id="rId47" Type="http://schemas.openxmlformats.org/officeDocument/2006/relationships/ctrlProp" Target="../ctrlProps/ctrlProp48.xml"/><Relationship Id="rId50" Type="http://schemas.openxmlformats.org/officeDocument/2006/relationships/ctrlProp" Target="../ctrlProps/ctrlProp51.xml"/><Relationship Id="rId55" Type="http://schemas.openxmlformats.org/officeDocument/2006/relationships/ctrlProp" Target="../ctrlProps/ctrlProp56.x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2" Type="http://schemas.openxmlformats.org/officeDocument/2006/relationships/drawing" Target="../drawings/drawing2.xml"/><Relationship Id="rId16" Type="http://schemas.openxmlformats.org/officeDocument/2006/relationships/ctrlProp" Target="../ctrlProps/ctrlProp17.xml"/><Relationship Id="rId20" Type="http://schemas.openxmlformats.org/officeDocument/2006/relationships/ctrlProp" Target="../ctrlProps/ctrlProp21.xml"/><Relationship Id="rId29" Type="http://schemas.openxmlformats.org/officeDocument/2006/relationships/ctrlProp" Target="../ctrlProps/ctrlProp30.xml"/><Relationship Id="rId41" Type="http://schemas.openxmlformats.org/officeDocument/2006/relationships/ctrlProp" Target="../ctrlProps/ctrlProp42.xml"/><Relationship Id="rId54" Type="http://schemas.openxmlformats.org/officeDocument/2006/relationships/ctrlProp" Target="../ctrlProps/ctrlProp55.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40" Type="http://schemas.openxmlformats.org/officeDocument/2006/relationships/ctrlProp" Target="../ctrlProps/ctrlProp41.xml"/><Relationship Id="rId45" Type="http://schemas.openxmlformats.org/officeDocument/2006/relationships/ctrlProp" Target="../ctrlProps/ctrlProp46.xml"/><Relationship Id="rId53" Type="http://schemas.openxmlformats.org/officeDocument/2006/relationships/ctrlProp" Target="../ctrlProps/ctrlProp54.xml"/><Relationship Id="rId5" Type="http://schemas.openxmlformats.org/officeDocument/2006/relationships/ctrlProp" Target="../ctrlProps/ctrlProp6.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49" Type="http://schemas.openxmlformats.org/officeDocument/2006/relationships/ctrlProp" Target="../ctrlProps/ctrlProp50.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 Id="rId48" Type="http://schemas.openxmlformats.org/officeDocument/2006/relationships/ctrlProp" Target="../ctrlProps/ctrlProp49.xml"/><Relationship Id="rId8" Type="http://schemas.openxmlformats.org/officeDocument/2006/relationships/ctrlProp" Target="../ctrlProps/ctrlProp9.xml"/><Relationship Id="rId51" Type="http://schemas.openxmlformats.org/officeDocument/2006/relationships/ctrlProp" Target="../ctrlProps/ctrlProp52.xml"/><Relationship Id="rId3"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L1" sqref="L1"/>
    </sheetView>
  </sheetViews>
  <sheetFormatPr defaultRowHeight="15" x14ac:dyDescent="0.25"/>
  <sheetData>
    <row r="1" spans="1:10" ht="21" x14ac:dyDescent="0.35">
      <c r="A1" s="284" t="s">
        <v>485</v>
      </c>
      <c r="B1" s="284"/>
      <c r="C1" s="284"/>
      <c r="D1" s="284"/>
      <c r="E1" s="284"/>
      <c r="F1" s="284"/>
      <c r="G1" s="284"/>
      <c r="H1" s="284"/>
      <c r="I1" s="284"/>
      <c r="J1" s="284"/>
    </row>
    <row r="2" spans="1:10" ht="15.75" x14ac:dyDescent="0.25">
      <c r="A2" s="285" t="s">
        <v>460</v>
      </c>
      <c r="B2" s="285"/>
      <c r="C2" s="285"/>
      <c r="D2" s="285"/>
      <c r="E2" s="285"/>
      <c r="F2" s="285"/>
      <c r="G2" s="285"/>
      <c r="H2" s="285"/>
      <c r="I2" s="285"/>
      <c r="J2" s="285"/>
    </row>
    <row r="3" spans="1:10" ht="213" customHeight="1" x14ac:dyDescent="0.25">
      <c r="A3" s="286" t="s">
        <v>486</v>
      </c>
      <c r="B3" s="286"/>
      <c r="C3" s="286"/>
      <c r="D3" s="286"/>
      <c r="E3" s="286"/>
      <c r="F3" s="286"/>
      <c r="G3" s="286"/>
      <c r="H3" s="286"/>
      <c r="I3" s="286"/>
      <c r="J3" s="286"/>
    </row>
    <row r="4" spans="1:10" ht="15.75" x14ac:dyDescent="0.25">
      <c r="A4" s="285" t="s">
        <v>461</v>
      </c>
      <c r="B4" s="285"/>
      <c r="C4" s="285"/>
      <c r="D4" s="285"/>
      <c r="E4" s="285"/>
      <c r="F4" s="285"/>
      <c r="G4" s="285"/>
      <c r="H4" s="285"/>
      <c r="I4" s="285"/>
      <c r="J4" s="285"/>
    </row>
    <row r="5" spans="1:10" x14ac:dyDescent="0.25">
      <c r="A5" s="283" t="s">
        <v>462</v>
      </c>
      <c r="B5" s="283"/>
      <c r="C5" s="283"/>
      <c r="D5" s="283"/>
      <c r="E5" s="283"/>
      <c r="F5" s="283"/>
      <c r="G5" s="283"/>
      <c r="H5" s="144"/>
      <c r="I5" s="73"/>
      <c r="J5" s="73"/>
    </row>
    <row r="6" spans="1:10" x14ac:dyDescent="0.25">
      <c r="A6" s="283" t="s">
        <v>463</v>
      </c>
      <c r="B6" s="283"/>
      <c r="C6" s="283"/>
      <c r="D6" s="283"/>
      <c r="E6" s="283"/>
      <c r="F6" s="283"/>
      <c r="G6" s="283"/>
      <c r="H6" s="283"/>
      <c r="I6" s="283"/>
      <c r="J6" s="283"/>
    </row>
    <row r="7" spans="1:10" x14ac:dyDescent="0.25">
      <c r="A7" s="288" t="s">
        <v>464</v>
      </c>
      <c r="B7" s="288"/>
      <c r="C7" s="288"/>
      <c r="D7" s="288"/>
      <c r="E7" s="288"/>
      <c r="F7" s="288"/>
      <c r="G7" s="288"/>
      <c r="H7" s="288"/>
      <c r="I7" s="288"/>
      <c r="J7" s="288"/>
    </row>
    <row r="8" spans="1:10" x14ac:dyDescent="0.25">
      <c r="A8" s="288" t="s">
        <v>465</v>
      </c>
      <c r="B8" s="288"/>
      <c r="C8" s="288"/>
      <c r="D8" s="288"/>
      <c r="E8" s="288"/>
      <c r="F8" s="288"/>
      <c r="G8" s="288"/>
      <c r="H8" s="288"/>
      <c r="I8" s="288"/>
      <c r="J8" s="288"/>
    </row>
    <row r="9" spans="1:10" ht="215.25" customHeight="1" x14ac:dyDescent="0.25">
      <c r="A9" s="286" t="s">
        <v>466</v>
      </c>
      <c r="B9" s="289"/>
      <c r="C9" s="289"/>
      <c r="D9" s="289"/>
      <c r="E9" s="289"/>
      <c r="F9" s="289"/>
      <c r="G9" s="289"/>
      <c r="H9" s="289"/>
      <c r="I9" s="289"/>
      <c r="J9" s="289"/>
    </row>
    <row r="10" spans="1:10" ht="50.25" customHeight="1" x14ac:dyDescent="0.25">
      <c r="A10" s="286" t="s">
        <v>487</v>
      </c>
      <c r="B10" s="289"/>
      <c r="C10" s="289"/>
      <c r="D10" s="289"/>
      <c r="E10" s="289"/>
      <c r="F10" s="289"/>
      <c r="G10" s="289"/>
      <c r="H10" s="289"/>
      <c r="I10" s="289"/>
      <c r="J10" s="289"/>
    </row>
    <row r="11" spans="1:10" ht="137.25" customHeight="1" x14ac:dyDescent="0.25">
      <c r="A11" s="286" t="s">
        <v>467</v>
      </c>
      <c r="B11" s="286"/>
      <c r="C11" s="286"/>
      <c r="D11" s="286"/>
      <c r="E11" s="286"/>
      <c r="F11" s="286"/>
      <c r="G11" s="286"/>
      <c r="H11" s="286"/>
      <c r="I11" s="286"/>
      <c r="J11" s="286"/>
    </row>
    <row r="12" spans="1:10" ht="94.5" customHeight="1" x14ac:dyDescent="0.25">
      <c r="A12" s="286" t="s">
        <v>468</v>
      </c>
      <c r="B12" s="289"/>
      <c r="C12" s="289"/>
      <c r="D12" s="289"/>
      <c r="E12" s="289"/>
      <c r="F12" s="289"/>
      <c r="G12" s="289"/>
      <c r="H12" s="289"/>
      <c r="I12" s="289"/>
      <c r="J12" s="289"/>
    </row>
    <row r="13" spans="1:10" ht="78.75" customHeight="1" x14ac:dyDescent="0.25">
      <c r="A13" s="286" t="s">
        <v>469</v>
      </c>
      <c r="B13" s="289"/>
      <c r="C13" s="289"/>
      <c r="D13" s="289"/>
      <c r="E13" s="289"/>
      <c r="F13" s="289"/>
      <c r="G13" s="289"/>
      <c r="H13" s="289"/>
      <c r="I13" s="289"/>
      <c r="J13" s="289"/>
    </row>
    <row r="14" spans="1:10" ht="79.5" customHeight="1" x14ac:dyDescent="0.25">
      <c r="A14" s="290" t="s">
        <v>470</v>
      </c>
      <c r="B14" s="291"/>
      <c r="C14" s="291"/>
      <c r="D14" s="291"/>
      <c r="E14" s="291"/>
      <c r="F14" s="291"/>
      <c r="G14" s="291"/>
      <c r="H14" s="291"/>
      <c r="I14" s="291"/>
      <c r="J14" s="291"/>
    </row>
    <row r="15" spans="1:10" ht="49.5" customHeight="1" x14ac:dyDescent="0.25">
      <c r="A15" s="286" t="s">
        <v>471</v>
      </c>
      <c r="B15" s="286"/>
      <c r="C15" s="286"/>
      <c r="D15" s="286"/>
      <c r="E15" s="286"/>
      <c r="F15" s="286"/>
      <c r="G15" s="286"/>
      <c r="H15" s="286"/>
      <c r="I15" s="286"/>
      <c r="J15" s="286"/>
    </row>
    <row r="16" spans="1:10" ht="15.75" x14ac:dyDescent="0.25">
      <c r="A16" s="285" t="s">
        <v>472</v>
      </c>
      <c r="B16" s="285"/>
      <c r="C16" s="285"/>
      <c r="D16" s="285"/>
      <c r="E16" s="285"/>
      <c r="F16" s="285"/>
      <c r="G16" s="285"/>
      <c r="H16" s="285"/>
      <c r="I16" s="285"/>
      <c r="J16" s="285"/>
    </row>
    <row r="17" spans="1:10" x14ac:dyDescent="0.25">
      <c r="A17" s="73" t="s">
        <v>26</v>
      </c>
      <c r="B17" s="287" t="s">
        <v>473</v>
      </c>
      <c r="C17" s="287"/>
      <c r="D17" s="287"/>
      <c r="E17" s="287"/>
      <c r="F17" s="287"/>
      <c r="G17" s="287"/>
      <c r="H17" s="287"/>
      <c r="I17" s="287"/>
      <c r="J17" s="287"/>
    </row>
    <row r="18" spans="1:10" x14ac:dyDescent="0.25">
      <c r="A18" s="73" t="s">
        <v>24</v>
      </c>
      <c r="B18" s="287" t="s">
        <v>474</v>
      </c>
      <c r="C18" s="287"/>
      <c r="D18" s="287"/>
      <c r="E18" s="287"/>
      <c r="F18" s="287"/>
      <c r="G18" s="287"/>
      <c r="H18" s="287"/>
      <c r="I18" s="287"/>
      <c r="J18" s="287"/>
    </row>
    <row r="19" spans="1:10" x14ac:dyDescent="0.25">
      <c r="A19" s="73" t="s">
        <v>20</v>
      </c>
      <c r="B19" s="287" t="s">
        <v>475</v>
      </c>
      <c r="C19" s="287"/>
      <c r="D19" s="287"/>
      <c r="E19" s="287"/>
      <c r="F19" s="287"/>
      <c r="G19" s="287"/>
      <c r="H19" s="287"/>
      <c r="I19" s="287"/>
      <c r="J19" s="287"/>
    </row>
    <row r="20" spans="1:10" x14ac:dyDescent="0.25">
      <c r="A20" s="73" t="s">
        <v>21</v>
      </c>
      <c r="B20" s="287" t="s">
        <v>476</v>
      </c>
      <c r="C20" s="287"/>
      <c r="D20" s="287"/>
      <c r="E20" s="287"/>
      <c r="F20" s="287"/>
      <c r="G20" s="287"/>
      <c r="H20" s="287"/>
      <c r="I20" s="287"/>
      <c r="J20" s="287"/>
    </row>
    <row r="21" spans="1:10" x14ac:dyDescent="0.25">
      <c r="A21" s="73" t="s">
        <v>23</v>
      </c>
      <c r="B21" s="287" t="s">
        <v>477</v>
      </c>
      <c r="C21" s="287"/>
      <c r="D21" s="287"/>
      <c r="E21" s="287"/>
      <c r="F21" s="287"/>
      <c r="G21" s="287"/>
      <c r="H21" s="287"/>
      <c r="I21" s="287"/>
      <c r="J21" s="287"/>
    </row>
    <row r="22" spans="1:10" x14ac:dyDescent="0.25">
      <c r="A22" s="73" t="s">
        <v>130</v>
      </c>
      <c r="B22" s="287" t="s">
        <v>478</v>
      </c>
      <c r="C22" s="287"/>
      <c r="D22" s="287"/>
      <c r="E22" s="287"/>
      <c r="F22" s="287"/>
      <c r="G22" s="287"/>
      <c r="H22" s="287"/>
      <c r="I22" s="287"/>
      <c r="J22" s="287"/>
    </row>
    <row r="23" spans="1:10" x14ac:dyDescent="0.25">
      <c r="A23" s="73" t="s">
        <v>479</v>
      </c>
      <c r="B23" s="287" t="s">
        <v>480</v>
      </c>
      <c r="C23" s="287"/>
      <c r="D23" s="287"/>
      <c r="E23" s="287"/>
      <c r="F23" s="287"/>
      <c r="G23" s="287"/>
      <c r="H23" s="287"/>
      <c r="I23" s="287"/>
      <c r="J23" s="287"/>
    </row>
    <row r="24" spans="1:10" x14ac:dyDescent="0.25">
      <c r="A24" s="73" t="s">
        <v>481</v>
      </c>
      <c r="B24" s="287" t="s">
        <v>482</v>
      </c>
      <c r="C24" s="287"/>
      <c r="D24" s="287"/>
      <c r="E24" s="287"/>
      <c r="F24" s="287"/>
      <c r="G24" s="287"/>
      <c r="H24" s="287"/>
      <c r="I24" s="287"/>
      <c r="J24" s="287"/>
    </row>
    <row r="25" spans="1:10" x14ac:dyDescent="0.25">
      <c r="A25" s="73" t="s">
        <v>128</v>
      </c>
      <c r="B25" s="287" t="s">
        <v>483</v>
      </c>
      <c r="C25" s="287"/>
      <c r="D25" s="287"/>
      <c r="E25" s="287"/>
      <c r="F25" s="287"/>
      <c r="G25" s="287"/>
      <c r="H25" s="287"/>
      <c r="I25" s="287"/>
      <c r="J25" s="287"/>
    </row>
    <row r="26" spans="1:10" x14ac:dyDescent="0.25">
      <c r="A26" t="s">
        <v>507</v>
      </c>
      <c r="B26" t="s">
        <v>508</v>
      </c>
    </row>
    <row r="27" spans="1:10" x14ac:dyDescent="0.25">
      <c r="A27" t="s">
        <v>47</v>
      </c>
      <c r="B27" t="s">
        <v>509</v>
      </c>
    </row>
    <row r="28" spans="1:10" x14ac:dyDescent="0.25">
      <c r="A28" s="73" t="s">
        <v>484</v>
      </c>
      <c r="B28" s="287" t="s">
        <v>159</v>
      </c>
      <c r="C28" s="287"/>
      <c r="D28" s="287"/>
      <c r="E28" s="287"/>
      <c r="F28" s="287"/>
      <c r="G28" s="287"/>
      <c r="H28" s="287"/>
      <c r="I28" s="287"/>
      <c r="J28" s="287"/>
    </row>
    <row r="29" spans="1:10" x14ac:dyDescent="0.25">
      <c r="A29" t="s">
        <v>499</v>
      </c>
      <c r="B29" t="s">
        <v>500</v>
      </c>
    </row>
    <row r="30" spans="1:10" x14ac:dyDescent="0.25">
      <c r="A30" t="s">
        <v>501</v>
      </c>
      <c r="B30" t="s">
        <v>502</v>
      </c>
    </row>
    <row r="31" spans="1:10" x14ac:dyDescent="0.25">
      <c r="A31" t="s">
        <v>503</v>
      </c>
      <c r="B31" t="s">
        <v>504</v>
      </c>
    </row>
    <row r="32" spans="1:10" x14ac:dyDescent="0.25">
      <c r="A32" t="s">
        <v>505</v>
      </c>
      <c r="B32" t="s">
        <v>506</v>
      </c>
    </row>
  </sheetData>
  <mergeCells count="26">
    <mergeCell ref="B24:J24"/>
    <mergeCell ref="B25:J25"/>
    <mergeCell ref="B28:J28"/>
    <mergeCell ref="B19:J19"/>
    <mergeCell ref="B20:J20"/>
    <mergeCell ref="B21:J21"/>
    <mergeCell ref="B22:J22"/>
    <mergeCell ref="B23:J23"/>
    <mergeCell ref="B18:J18"/>
    <mergeCell ref="A7:J7"/>
    <mergeCell ref="A8:J8"/>
    <mergeCell ref="A9:J9"/>
    <mergeCell ref="A10:J10"/>
    <mergeCell ref="A11:J11"/>
    <mergeCell ref="A12:J12"/>
    <mergeCell ref="A13:J13"/>
    <mergeCell ref="A14:J14"/>
    <mergeCell ref="A15:J15"/>
    <mergeCell ref="A16:J16"/>
    <mergeCell ref="B17:J17"/>
    <mergeCell ref="A6:J6"/>
    <mergeCell ref="A1:J1"/>
    <mergeCell ref="A2:J2"/>
    <mergeCell ref="A3:J3"/>
    <mergeCell ref="A4:J4"/>
    <mergeCell ref="A5:G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80"/>
  <sheetViews>
    <sheetView tabSelected="1" workbookViewId="0"/>
  </sheetViews>
  <sheetFormatPr defaultRowHeight="12" x14ac:dyDescent="0.2"/>
  <cols>
    <col min="1" max="1" width="12.7109375" style="82" bestFit="1" customWidth="1"/>
    <col min="2" max="3" width="12.85546875" style="82" bestFit="1" customWidth="1"/>
    <col min="4" max="5" width="10.28515625" style="82" customWidth="1"/>
    <col min="6" max="6" width="9.140625" style="82"/>
    <col min="7" max="7" width="12.7109375" style="82" bestFit="1" customWidth="1"/>
    <col min="8" max="8" width="6.5703125" style="82" bestFit="1" customWidth="1"/>
    <col min="9" max="9" width="13.140625" style="82" bestFit="1" customWidth="1"/>
    <col min="10" max="10" width="13.5703125" style="82" bestFit="1" customWidth="1"/>
    <col min="11" max="11" width="11.140625" style="82" bestFit="1" customWidth="1"/>
    <col min="12" max="12" width="10.28515625" style="82" bestFit="1" customWidth="1"/>
    <col min="13" max="14" width="13.140625" style="82" bestFit="1" customWidth="1"/>
    <col min="15" max="15" width="8.7109375" style="82" bestFit="1" customWidth="1"/>
    <col min="16" max="16" width="9.85546875" style="82" bestFit="1" customWidth="1"/>
    <col min="17" max="17" width="9.5703125" style="82" bestFit="1" customWidth="1"/>
    <col min="18" max="18" width="12.140625" style="82" bestFit="1" customWidth="1"/>
    <col min="19" max="19" width="10.140625" style="82" bestFit="1" customWidth="1"/>
    <col min="20" max="16384" width="9.140625" style="82"/>
  </cols>
  <sheetData>
    <row r="2" spans="1:16" x14ac:dyDescent="0.2">
      <c r="G2" s="292" t="s">
        <v>0</v>
      </c>
      <c r="H2" s="292"/>
      <c r="I2" s="292"/>
      <c r="J2" s="292"/>
      <c r="K2" s="293"/>
      <c r="L2" s="292" t="s">
        <v>1</v>
      </c>
      <c r="M2" s="292"/>
      <c r="N2" s="292"/>
      <c r="O2" s="292"/>
      <c r="P2" s="292"/>
    </row>
    <row r="3" spans="1:16" x14ac:dyDescent="0.2">
      <c r="A3" s="292" t="s">
        <v>2</v>
      </c>
      <c r="B3" s="292"/>
      <c r="C3" s="278" t="s">
        <v>3</v>
      </c>
      <c r="D3" s="279" t="s">
        <v>4</v>
      </c>
      <c r="E3" s="279" t="s">
        <v>5</v>
      </c>
      <c r="F3" s="97"/>
      <c r="G3" s="292" t="s">
        <v>6</v>
      </c>
      <c r="H3" s="292"/>
      <c r="I3" s="150" t="s">
        <v>7</v>
      </c>
      <c r="J3" s="150" t="s">
        <v>8</v>
      </c>
      <c r="K3" s="139" t="s">
        <v>9</v>
      </c>
      <c r="L3" s="294" t="s">
        <v>10</v>
      </c>
      <c r="M3" s="294"/>
      <c r="N3" s="150" t="s">
        <v>7</v>
      </c>
      <c r="O3" s="150" t="s">
        <v>8</v>
      </c>
      <c r="P3" s="150" t="s">
        <v>9</v>
      </c>
    </row>
    <row r="4" spans="1:16" x14ac:dyDescent="0.2">
      <c r="A4" s="280" t="s">
        <v>11</v>
      </c>
      <c r="B4" s="135">
        <v>70</v>
      </c>
      <c r="C4" s="86">
        <f>B4+H4</f>
        <v>70</v>
      </c>
      <c r="D4" s="151">
        <f>C4-B4</f>
        <v>0</v>
      </c>
      <c r="E4" s="152">
        <f>IF(B4&gt;0,D4/B4, 0)</f>
        <v>0</v>
      </c>
      <c r="G4" s="82" t="s">
        <v>11</v>
      </c>
      <c r="H4" s="135">
        <v>0</v>
      </c>
      <c r="K4" s="87"/>
      <c r="M4" s="122"/>
    </row>
    <row r="5" spans="1:16" x14ac:dyDescent="0.2">
      <c r="A5" s="280" t="s">
        <v>12</v>
      </c>
      <c r="B5" s="135">
        <v>77</v>
      </c>
      <c r="C5" s="88">
        <f t="shared" ref="C5:C21" si="0">B5+H5</f>
        <v>77</v>
      </c>
      <c r="D5" s="151">
        <f t="shared" ref="D5:D22" si="1">C5-B5</f>
        <v>0</v>
      </c>
      <c r="E5" s="152">
        <f t="shared" ref="E5:E36" si="2">IF(B5&gt;0,D5/B5, 0)</f>
        <v>0</v>
      </c>
      <c r="G5" s="82" t="s">
        <v>12</v>
      </c>
      <c r="H5" s="135">
        <v>0</v>
      </c>
      <c r="J5" s="153">
        <f>(1-((1-(C29+1)/(50*$B$31+(C29+1)))*((1-C30/(5*$B$31+C30))*(1-C13/100))))-(1-((1-C29/(50*$B$31+C29))*((1-C30/(5*$B$31+C30))*(1-C13/100))))</f>
        <v>5.4719171163064573E-6</v>
      </c>
      <c r="K5" s="154">
        <f>C33*(1/(1-(B32+(1-((1-(B29+1)/(50*$B$31+(B29+1)))*((1-C30/(5*$B$31+C30))*(1-C13/100))))-(1-((1-B29/(50*$B$31+B29))*((1-C30/(5*$B$31+C30))*(1-C13/100)))))))-C33*(1/(1-B32))</f>
        <v>661.19151020422578</v>
      </c>
      <c r="M5" s="122"/>
    </row>
    <row r="6" spans="1:16" x14ac:dyDescent="0.2">
      <c r="A6" s="280" t="s">
        <v>13</v>
      </c>
      <c r="B6" s="135">
        <v>77</v>
      </c>
      <c r="C6" s="88">
        <f t="shared" si="0"/>
        <v>77</v>
      </c>
      <c r="D6" s="151">
        <f t="shared" si="1"/>
        <v>0</v>
      </c>
      <c r="E6" s="152">
        <f t="shared" si="2"/>
        <v>0</v>
      </c>
      <c r="G6" s="82" t="s">
        <v>13</v>
      </c>
      <c r="H6" s="135">
        <v>0</v>
      </c>
      <c r="K6" s="87"/>
      <c r="M6" s="122"/>
    </row>
    <row r="7" spans="1:16" x14ac:dyDescent="0.2">
      <c r="A7" s="280" t="s">
        <v>14</v>
      </c>
      <c r="B7" s="135">
        <v>10000</v>
      </c>
      <c r="C7" s="88">
        <f>B7+H7+M7*5</f>
        <v>10000</v>
      </c>
      <c r="D7" s="151">
        <f t="shared" si="1"/>
        <v>0</v>
      </c>
      <c r="E7" s="152">
        <f t="shared" si="2"/>
        <v>0</v>
      </c>
      <c r="G7" s="82" t="s">
        <v>14</v>
      </c>
      <c r="H7" s="135">
        <v>0</v>
      </c>
      <c r="I7" s="155">
        <f>((C28-I29)*(1+C20/100)+I29)*(1+(B7+1)/100)*((C18/100)*(1+C19/100)+(1*(1-C18/100)))*(C23)-((C28-I29)*(1+C20/100)+I29)*(1+B7/100)*((C18/100)*(1+C19/100)+(1*(1-C18/100)))*(C23)</f>
        <v>99.009900990058668</v>
      </c>
      <c r="J7" s="153">
        <f>(1-((1-C29/(50*$B$31+C29))*((1-(B30+1/10)/(5*$B$31+(B30+1/10)))*(1-C13/100))))-(1-((1-C29/(50*$B$31+C29))*((1-B30/(5*$B$31+B30))*(1-C13/100))))</f>
        <v>3.2536922434101001E-6</v>
      </c>
      <c r="K7" s="154">
        <f>C33*(1/(1-(B32+(1-((1-C29/(50*$B$31+C29))*((1-(B30+1/10)/(5*$B$31+(B30+1/10)))*(1-C13/100))))-(1-((1-C29/(50*$B$31+C29))*((1-B30/(5*$B$31+B30))*(1-C13/100)))))))-C33*(1/(1-B32))</f>
        <v>393.14089795108885</v>
      </c>
      <c r="L7" s="82" t="s">
        <v>14</v>
      </c>
      <c r="M7" s="135">
        <v>0</v>
      </c>
      <c r="N7" s="155">
        <f>((C28-I29)*(1+C20/100)+I29)*(1+(B7+5)/100)*((C18/100)*(1+C19/100)+(1*(1-C18/100)))*(C23)-((C28-I29)*(1+C20/100)+I29)*(1+B7/100)*((C18/100)*(1+C19/100)+(1*(1-C18/100)))*(C23)</f>
        <v>495.04950495040976</v>
      </c>
      <c r="O7" s="153">
        <f>(1-((1-C29/(50*$B$31+C29))*((1-(C30+5/10)/(5*$B$31+(C30+5/10)))*(1-C13/100))))-(1-((1-C29/(50*$B$31+C29))*((1-C30/(5*$B$31+C30))*(1-C13/100))))</f>
        <v>1.6264944662669478E-5</v>
      </c>
      <c r="P7" s="156">
        <f>C33*(1/(1-(B32+(1-((1-C29/(50*$B$31+C29))*((1-(B30+5/10)/(5*$B$31+(B30+5/10)))*(1-C13/100))))-(1-((1-C29/(50*$B$31+C29))*((1-B30/(5*$B$31+B30))*(1-C13/100)))))))-C33*(1/(1-B32))</f>
        <v>1965.7044897954911</v>
      </c>
    </row>
    <row r="8" spans="1:16" x14ac:dyDescent="0.2">
      <c r="A8" s="280" t="s">
        <v>15</v>
      </c>
      <c r="B8" s="135">
        <v>3500</v>
      </c>
      <c r="C8" s="88">
        <f>B8+H8+M8*5</f>
        <v>3500</v>
      </c>
      <c r="D8" s="151">
        <f t="shared" si="1"/>
        <v>0</v>
      </c>
      <c r="E8" s="152">
        <f t="shared" si="2"/>
        <v>0</v>
      </c>
      <c r="G8" s="82" t="s">
        <v>15</v>
      </c>
      <c r="H8" s="135">
        <v>0</v>
      </c>
      <c r="K8" s="154">
        <f>(36+4*C4+(B8+1)*(35+5*(C4-60)))*(1+C9/100)*(1/(1-C32))-(36+4*C4+B8*(35+5*(C4-60)))*(1+C9/100)*(1/(1-C32))</f>
        <v>1765.0510204080492</v>
      </c>
      <c r="L8" s="82" t="s">
        <v>15</v>
      </c>
      <c r="M8" s="135">
        <v>0</v>
      </c>
      <c r="P8" s="156">
        <f>(36+4*C4+(B8+5)*(35+5*(C4-60)))*(1+C9/100)*(1/(1-C32))-(36+4*C4+B8*(35+5*(C4-60)))*(1+C9/100)*(1/(1-C32))</f>
        <v>8825.2551020402461</v>
      </c>
    </row>
    <row r="9" spans="1:16" x14ac:dyDescent="0.2">
      <c r="A9" s="280" t="s">
        <v>16</v>
      </c>
      <c r="B9" s="135">
        <v>25</v>
      </c>
      <c r="C9" s="88">
        <f>B9+H9+M9*0.5</f>
        <v>25</v>
      </c>
      <c r="D9" s="151">
        <f t="shared" si="1"/>
        <v>0</v>
      </c>
      <c r="E9" s="152">
        <f t="shared" si="2"/>
        <v>0</v>
      </c>
      <c r="G9" s="82" t="s">
        <v>16</v>
      </c>
      <c r="H9" s="135">
        <v>0</v>
      </c>
      <c r="K9" s="154">
        <f>(36+4*C4+C8*(35+5*(C4-60)))*(1+(C9+1)/100)*(1/(1-C32))-(36+4*C4+C8*(35+5*(C4-60)))*(1+C9/100)*(1/(1-C32))</f>
        <v>49473.923265305348</v>
      </c>
      <c r="L9" s="82" t="s">
        <v>16</v>
      </c>
      <c r="M9" s="135">
        <v>0</v>
      </c>
      <c r="P9" s="156">
        <f>(36+4*C4+C8*(35+5*(C4-60)))*(1+(C9+0.5)/100)*(1/(1-C32))-(36+4*C4+C8*(35+5*(C4-60)))*(1+C9/100)*(1/(1-C32))</f>
        <v>24736.961632652208</v>
      </c>
    </row>
    <row r="10" spans="1:16" x14ac:dyDescent="0.2">
      <c r="A10" s="280" t="s">
        <v>17</v>
      </c>
      <c r="B10" s="282">
        <f>B29/(1+B11/100)-B5-B6</f>
        <v>5846</v>
      </c>
      <c r="C10" s="281">
        <f t="shared" si="0"/>
        <v>5846</v>
      </c>
      <c r="D10" s="151">
        <v>0</v>
      </c>
      <c r="E10" s="152">
        <f t="shared" si="2"/>
        <v>0</v>
      </c>
      <c r="G10" s="82" t="s">
        <v>17</v>
      </c>
      <c r="H10" s="135">
        <v>0</v>
      </c>
      <c r="J10" s="153">
        <f>(1-((1-(C29+1)/(50*$B$31+(C29+1)))*((1-C30/(5*$B$31+C30))*(1-C13/100))))-(1-((1-C29/(50*$B$31+C29))*((1-C30/(5*$B$31+C30))*(1-C13/100))))</f>
        <v>5.4719171163064573E-6</v>
      </c>
      <c r="K10" s="154">
        <f>C33*(1/(1-(B32+(1-((1-(B29+1)/(50*$B$31+(B29+1)))*((1-C30/(5*$B$31+C30))*(1-C13/100))))-(1-((1-B29/(50*$B$31+B29))*((1-C30/(5*$B$31+C30))*(1-C13/100)))))))-C33*(1/(1-B32))</f>
        <v>661.19151020422578</v>
      </c>
      <c r="M10" s="122"/>
      <c r="P10" s="121"/>
    </row>
    <row r="11" spans="1:16" x14ac:dyDescent="0.2">
      <c r="A11" s="280" t="s">
        <v>18</v>
      </c>
      <c r="B11" s="135">
        <v>25</v>
      </c>
      <c r="C11" s="88">
        <f>B11+H11+M11*0.5</f>
        <v>25</v>
      </c>
      <c r="D11" s="151">
        <f t="shared" si="1"/>
        <v>0</v>
      </c>
      <c r="E11" s="152">
        <f t="shared" si="2"/>
        <v>0</v>
      </c>
      <c r="G11" s="82" t="s">
        <v>18</v>
      </c>
      <c r="H11" s="135">
        <v>0</v>
      </c>
      <c r="J11" s="153">
        <f>(1-((1-((C10+C5)*(1+(C11+1)/100))/(50*$B$31+((C10+C5)*(1+(C11+1)/100))))*((1-C30/(5*$B$31+C30))*(1-C13/100))))-(1-((1-((C10+C5)*(1+C11/100))/(50*$B$31+((C10+C5)*(1+C11/100))))*((1-C30/(5*$B$31+C30))*(1-C13/100))))</f>
        <v>3.2809649101306348E-4</v>
      </c>
      <c r="K11" s="154">
        <f>C33*(1/(1-(B32+(1-((1-((C10+C5)*(1+(B11+1)/100))/(50*$B$31+((C10+C5)*(1+(B11+1)/100))))*((1-C30/(5*$B$31+C30))*(1-C13/100))))-(1-((1-((C10+C5)*(1+B11/100))/(50*$B$31+((C10+C5)*(1+B11/100))))*((1-C30/(5*$B$31+C30))*(1-C13/100)))))))-C33*(1/(1-B32))</f>
        <v>39858.727125138976</v>
      </c>
      <c r="L11" s="82" t="s">
        <v>18</v>
      </c>
      <c r="M11" s="135">
        <v>0</v>
      </c>
      <c r="O11" s="153">
        <f>(1-((1-((C10+C5)*(1+(C11+0.5)/100))/(50*$B$31+((C10+C5)*(1+(C11+0.5)/100))))*((1-C30/(5*$B$31+C30)))*(1-C13/100)))-(1-((1-((C10+C5)*(1+C11/100))/(50*$B$31+((C10+C5)*(1+C11/100))))*((1-C30/(5*$B$31+C30)))*(1-C13/100)))</f>
        <v>1.6449259990158893E-4</v>
      </c>
      <c r="P11" s="156">
        <f>C33*(1/(1-(B32+(1-((1-((C10+C5)*(1+(B11+0.5)/100))/(50*$B$31+((C10+C5)*(1+(B11+0.5)/100))))*((1-C30/(5*$B$31+C30)))*(1-C13/100)))-(1-((1-((C10+C5)*(1+B11/100))/(50*$B$31+((C10+C5)*(1+B11/100))))*((1-C30/(5*$B$31+C30)))*(1-C13/100))))))-C33*(1/(1-B32))</f>
        <v>19928.885742316023</v>
      </c>
    </row>
    <row r="12" spans="1:16" x14ac:dyDescent="0.2">
      <c r="A12" s="280" t="s">
        <v>19</v>
      </c>
      <c r="B12" s="122">
        <f>B30-B7/10</f>
        <v>500</v>
      </c>
      <c r="C12" s="88">
        <f>B12+H12+M12*5</f>
        <v>500</v>
      </c>
      <c r="D12" s="151">
        <f t="shared" si="1"/>
        <v>0</v>
      </c>
      <c r="E12" s="152">
        <f t="shared" si="2"/>
        <v>0</v>
      </c>
      <c r="G12" s="82" t="s">
        <v>19</v>
      </c>
      <c r="H12" s="135">
        <v>0</v>
      </c>
      <c r="J12" s="153">
        <f>(1-((1-C29/(50*$B$31+C29))*((1-(C30+1)/(5*$B$31+(C30+1)))*(1-C13/100))))-(1-((1-C29/(50*$B$31+C29))*((1-C30/(5*$B$31+C30))*(1-C13/100))))</f>
        <v>3.2521102213189934E-5</v>
      </c>
      <c r="K12" s="154">
        <f>C33*(1/(1-(B32+(1-((1-C29/(50*$B$31+C29))*((1-(B30+1)/(5*$B$31+(B30+1)))*(1-C13/100))))-(1-((1-C29/(50*$B$31+C29))*((1-B30/(5*$B$31+B30))*(1-C13/100)))))))-C33*(1/(1-B32))</f>
        <v>3931.4089795956388</v>
      </c>
      <c r="L12" s="82" t="s">
        <v>19</v>
      </c>
      <c r="M12" s="135">
        <v>0</v>
      </c>
      <c r="O12" s="153">
        <f>(1-((1-C29/(50*$B$31+C29))*((1-(C30+5)/(5*$B$31+(C30+5)))*(1-C13/100))))-(1-((1-C29/(50*$B$31+C29))*((1-C30/(5*$B$31+C30)))*(1-C13/100)))</f>
        <v>1.6225487923593462E-4</v>
      </c>
      <c r="P12" s="156">
        <f>C33*(1/(1-(B32+(1-((1-C29/(50*$B$31+C29))*((1-(B30+5)/(5*$B$31+(B30+5)))*(1-C13/100))))-(1-((1-C29/(50*$B$31+C29))*((1-B30/(5*$B$31+B30)))*(1-C13/100))))))-C33*(1/(1-B32))</f>
        <v>19657.044897950254</v>
      </c>
    </row>
    <row r="13" spans="1:16" x14ac:dyDescent="0.2">
      <c r="A13" s="280" t="s">
        <v>669</v>
      </c>
      <c r="B13" s="135">
        <v>0</v>
      </c>
      <c r="C13" s="88">
        <f>100-(1-B13/100)*(1-H13/100)*100</f>
        <v>0</v>
      </c>
      <c r="D13" s="151">
        <f t="shared" si="1"/>
        <v>0</v>
      </c>
      <c r="E13" s="152">
        <f t="shared" si="2"/>
        <v>0</v>
      </c>
      <c r="F13" s="274"/>
      <c r="G13" s="274" t="s">
        <v>669</v>
      </c>
      <c r="H13" s="135">
        <v>0</v>
      </c>
      <c r="I13" s="274"/>
      <c r="J13" s="153">
        <f>(1-((1-C29/(50*$B$31+C29))*((1-C30/(5*$B$31+C30))*(1-C17/6*5/100)*((1-B13/100)*(1-1/100)*(1-C14/3/100)*(1-C15/3/100)*(1-C16/3/100))))-(1-((1-C29/(50*$B$31+C29))*((1-C30/(5*$B$31+C30))*(1-C17/6*5/100)*((1-B13/100)*(1-C14/3/100)*(1-C15/3/100)*(1-C16/3/100))))))</f>
        <v>6.0196560196557058E-4</v>
      </c>
      <c r="K13" s="157">
        <f>$C$33*(1/(1-($C$32+J13)))-$C$33*(1/(1-$C$32))</f>
        <v>73465.723356005736</v>
      </c>
      <c r="M13" s="122"/>
    </row>
    <row r="14" spans="1:16" s="274" customFormat="1" x14ac:dyDescent="0.2">
      <c r="A14" s="280" t="s">
        <v>670</v>
      </c>
      <c r="B14" s="135">
        <v>0</v>
      </c>
      <c r="C14" s="88">
        <f t="shared" ref="C14:C17" si="3">100-(1-B14/100)*(1-H14/100)*100</f>
        <v>0</v>
      </c>
      <c r="D14" s="151">
        <f t="shared" si="1"/>
        <v>0</v>
      </c>
      <c r="E14" s="152">
        <f t="shared" si="2"/>
        <v>0</v>
      </c>
      <c r="G14" s="274" t="s">
        <v>670</v>
      </c>
      <c r="H14" s="135">
        <v>0</v>
      </c>
      <c r="J14" s="153">
        <f>(1-((1-C29/(50*$B$31+C29))*((1-C30/(5*$B$31+C30))*(1-C17/6*5/100)*((1-C13/100)*(1-B14/3/100)*(1-1/3/100)*(1-C15/3/100)*(1-C16/100))))-(1-((1-C29/(50*$B$31+C29))*((1-C30/(5*$B$31+C30))*(1-C17/6*5/100)*((1-C13/100)*(1-B14/3/100)*(1-C15/3/100)*(1-C16/3/100))))))</f>
        <v>2.0065520065515319E-4</v>
      </c>
      <c r="K14" s="157">
        <f t="shared" ref="K14:K17" si="4">$C$33*(1/(1-($C$32+J14)))-$C$33*(1/(1-$C$32))</f>
        <v>24324.771278405562</v>
      </c>
      <c r="M14" s="122"/>
    </row>
    <row r="15" spans="1:16" s="274" customFormat="1" x14ac:dyDescent="0.2">
      <c r="A15" s="280" t="s">
        <v>673</v>
      </c>
      <c r="B15" s="135">
        <v>0</v>
      </c>
      <c r="C15" s="88">
        <f t="shared" si="3"/>
        <v>0</v>
      </c>
      <c r="D15" s="151">
        <f t="shared" si="1"/>
        <v>0</v>
      </c>
      <c r="E15" s="152">
        <f t="shared" si="2"/>
        <v>0</v>
      </c>
      <c r="G15" s="274" t="s">
        <v>673</v>
      </c>
      <c r="H15" s="135">
        <v>0</v>
      </c>
      <c r="J15" s="153">
        <f>(1-((1-C29/(50*$B$31+C29))*((1-C30/(5*$B$31+C30))*(1-C17/6*5/100)*((1-C13/100)*(1-C14/3/100)*(1-B15/3/100)*(1-1/3/100)*(1-C16/3/100))))-(1-((1-C29/(50*$B$31+C29))*((1-C30/(5*$B$31+C30))*(1-C17/6*5/100)*((1-C13/100)*(1-C14/3/100)*(1-B15/3/100)*(1-C16/3/100))))))</f>
        <v>2.0065520065515319E-4</v>
      </c>
      <c r="K15" s="157">
        <f t="shared" si="4"/>
        <v>24324.771278405562</v>
      </c>
      <c r="M15" s="122"/>
    </row>
    <row r="16" spans="1:16" s="274" customFormat="1" x14ac:dyDescent="0.2">
      <c r="A16" s="280" t="s">
        <v>671</v>
      </c>
      <c r="B16" s="135">
        <v>0</v>
      </c>
      <c r="C16" s="88">
        <f t="shared" si="3"/>
        <v>0</v>
      </c>
      <c r="D16" s="151">
        <f t="shared" si="1"/>
        <v>0</v>
      </c>
      <c r="E16" s="152">
        <f t="shared" si="2"/>
        <v>0</v>
      </c>
      <c r="G16" s="274" t="s">
        <v>671</v>
      </c>
      <c r="H16" s="135">
        <v>0</v>
      </c>
      <c r="J16" s="153">
        <f>(1-((1-C29/(50*$B$31+C29))*((1-C30/(5*$B$31+C30))*(1-C17/6*5/100)*((1-C13/100)*(1-C14/3/100)*(1-C15/3/100)*(1-B16/3/100)*(1-1/3/100))))-(1-((1-C29/(50*$B$31+C29))*((1-C30/(5*$B$31+C30))*(1-C17/6*5/100)*((1-C13/100)*(1-C14/3/100)*(1-C15/3/100)*(1-B16/3/100))))))</f>
        <v>2.0065520065515319E-4</v>
      </c>
      <c r="K16" s="157">
        <f t="shared" si="4"/>
        <v>24324.771278405562</v>
      </c>
      <c r="M16" s="122"/>
    </row>
    <row r="17" spans="1:14" s="274" customFormat="1" x14ac:dyDescent="0.2">
      <c r="A17" s="280" t="s">
        <v>672</v>
      </c>
      <c r="B17" s="135">
        <v>0</v>
      </c>
      <c r="C17" s="88">
        <f t="shared" si="3"/>
        <v>0</v>
      </c>
      <c r="D17" s="151">
        <f t="shared" si="1"/>
        <v>0</v>
      </c>
      <c r="E17" s="152">
        <f t="shared" si="2"/>
        <v>0</v>
      </c>
      <c r="G17" s="274" t="s">
        <v>672</v>
      </c>
      <c r="H17" s="135">
        <v>0</v>
      </c>
      <c r="J17" s="153">
        <f>(1-((1-C29/(50*$B$31+C29))*((1-C30/(5*$B$31+C30))*(1-B17/6*5/100)*(1-1/6*5/100)*((1-C13/100)*(1-C14/3/100)*(1-C15/3/100)*(1-C16/3/100))))-(1-((1-C29/(50*$B$31+C29))*((1-C30/(5*$B$31+C30))*(1-B17/6*5/100)*((1-C13/100)*(1-C14/3/100)*(1-C15/3/100)*(1-C16/3/100))))))</f>
        <v>5.0163800163793848E-4</v>
      </c>
      <c r="K17" s="157">
        <f t="shared" si="4"/>
        <v>61118.542960033752</v>
      </c>
      <c r="M17" s="122"/>
    </row>
    <row r="18" spans="1:14" x14ac:dyDescent="0.2">
      <c r="A18" s="280" t="s">
        <v>20</v>
      </c>
      <c r="B18" s="135">
        <v>50</v>
      </c>
      <c r="C18" s="88">
        <f>B18+H18+M18*0.1</f>
        <v>50</v>
      </c>
      <c r="D18" s="151">
        <f t="shared" si="1"/>
        <v>0</v>
      </c>
      <c r="E18" s="152">
        <f t="shared" si="2"/>
        <v>0</v>
      </c>
      <c r="G18" s="82" t="s">
        <v>20</v>
      </c>
      <c r="H18" s="135">
        <v>0</v>
      </c>
      <c r="I18" s="155">
        <f>((C28-I29)*(1+C20/100)+I29)*(1+C7/100)*(((B18+1)/100)*(1+C19/100)+(1*(1-(B18+1)/100)))*(C23)-((C28-I29)*(1+C20/100)+I29)*(1+C7/100)*((B18/100)*(1+C19/100)+(1*(1-B18/100)))*(C23)</f>
        <v>13333.333333333372</v>
      </c>
      <c r="K18" s="87"/>
      <c r="L18" s="82" t="s">
        <v>20</v>
      </c>
      <c r="M18" s="135">
        <v>0</v>
      </c>
      <c r="N18" s="155">
        <f>((C28-I29)*(1+C20/100)+I29)*(1+C7/100)*(((B18+0.1)/100)*(1+C19/100)+(1*(1-(B18+0.1)/100)))*(C23)-((C28-I29)*(1+C20/100)+I29)*(1+C7/100)*((B18/100)*(1+C19/100)+(1*(1-B18/100)))*(C23)</f>
        <v>1333.3333333332557</v>
      </c>
    </row>
    <row r="19" spans="1:14" x14ac:dyDescent="0.2">
      <c r="A19" s="280" t="s">
        <v>21</v>
      </c>
      <c r="B19" s="135">
        <v>400</v>
      </c>
      <c r="C19" s="88">
        <f>B19+H19+M19</f>
        <v>400</v>
      </c>
      <c r="D19" s="151">
        <f t="shared" si="1"/>
        <v>0</v>
      </c>
      <c r="E19" s="152">
        <f t="shared" si="2"/>
        <v>0</v>
      </c>
      <c r="G19" s="82" t="s">
        <v>21</v>
      </c>
      <c r="H19" s="135">
        <v>0</v>
      </c>
      <c r="I19" s="155">
        <f>((C28-I29)*(1+C20/100)+I29)*(1+C7/100)*((C18/100)*(1+(B19+1)/100)+(1*(1-C18/100)))*(C23)-((C28-I29)*(1+C20/100)+I29)*(1+C7/100)*((C18/100)*(1+B19/100)+(1*(1-C18/100)))*(C23)</f>
        <v>1666.6666666666279</v>
      </c>
      <c r="K19" s="87"/>
      <c r="L19" s="82" t="s">
        <v>21</v>
      </c>
      <c r="M19" s="135">
        <v>0</v>
      </c>
      <c r="N19" s="155">
        <f>((C28-I29)*(1+C20/100)+I29)*(1+C7/100)*((C18/100)*(1+(B19+1)/100)+(1*(1-C18/100)))*(C23)-((C28-I29)*(1+C20/100)+I29)*(1+C7/100)*((C18/100)*(1+B19/100)+(1*(1-C18/100)))*(C23)</f>
        <v>1666.6666666666279</v>
      </c>
    </row>
    <row r="20" spans="1:14" x14ac:dyDescent="0.2">
      <c r="A20" s="280" t="s">
        <v>513</v>
      </c>
      <c r="B20" s="135">
        <v>0</v>
      </c>
      <c r="C20" s="88">
        <f t="shared" si="0"/>
        <v>0</v>
      </c>
      <c r="D20" s="151">
        <f t="shared" si="1"/>
        <v>0</v>
      </c>
      <c r="E20" s="152">
        <f t="shared" si="2"/>
        <v>0</v>
      </c>
      <c r="G20" s="82" t="s">
        <v>513</v>
      </c>
      <c r="H20" s="135">
        <v>0</v>
      </c>
      <c r="I20" s="155">
        <f>((C28-I29)*(1+(C20+1)/100)+I29)*(1+C7/100)*((C18/100)*(1+C19/100)+(1*(1-C18/100)))*(C23)-((C28-I29)*(1+C20/100)+I29)*(1+C7/100)*((C18/100)*(1+C19/100)+(1*(1-C18/100)))*(C23)</f>
        <v>10000</v>
      </c>
      <c r="K20" s="87"/>
      <c r="M20" s="122"/>
    </row>
    <row r="21" spans="1:14" x14ac:dyDescent="0.2">
      <c r="A21" s="280" t="s">
        <v>22</v>
      </c>
      <c r="B21" s="135">
        <v>1.4</v>
      </c>
      <c r="C21" s="88">
        <f t="shared" si="0"/>
        <v>1.4</v>
      </c>
      <c r="D21" s="158">
        <f t="shared" si="1"/>
        <v>0</v>
      </c>
      <c r="E21" s="152">
        <f t="shared" si="2"/>
        <v>0</v>
      </c>
      <c r="G21" s="82" t="s">
        <v>22</v>
      </c>
      <c r="H21" s="135">
        <v>0</v>
      </c>
      <c r="I21" s="155">
        <f>((C28-I29)*(1+C20/100)+I29)*(1+C7/100)*((C18/100)*(1+C19/100)+(1*(1-C18/100)))*((B21+1)*(1+B22/100))-((C28-I29)*(1+C20/100)+I29)*(1+C7/100)*((C18/100)*(1+C19/100)+(1*(1-C18/100)))*(B21*(1+B22/100))</f>
        <v>714285.71428571467</v>
      </c>
      <c r="K21" s="87"/>
      <c r="M21" s="122"/>
    </row>
    <row r="22" spans="1:14" x14ac:dyDescent="0.2">
      <c r="A22" s="240" t="s">
        <v>23</v>
      </c>
      <c r="B22" s="138">
        <v>10</v>
      </c>
      <c r="C22" s="92">
        <f>B22+H22+M22*0.2</f>
        <v>10</v>
      </c>
      <c r="D22" s="159">
        <f t="shared" si="1"/>
        <v>0</v>
      </c>
      <c r="E22" s="160">
        <f t="shared" si="2"/>
        <v>0</v>
      </c>
      <c r="G22" s="123" t="s">
        <v>23</v>
      </c>
      <c r="H22" s="135">
        <v>0</v>
      </c>
      <c r="I22" s="155">
        <f>((C28-I29)*(1+C20/100)+I29)*(1+C7/100)*((C18/100)*(1+C19/100)+(1*(1-C18/100)))*(C21*(1+(B22+1)/100))-((C28-I29)*(1+C20/100)+I29)*(1+C7/100)*((C18/100)*(1+C19/100)+(1*(1-C18/100)))*(C21*(1+B22/100))</f>
        <v>9090.9090909090592</v>
      </c>
      <c r="K22" s="87"/>
      <c r="L22" s="123" t="s">
        <v>23</v>
      </c>
      <c r="M22" s="135">
        <v>0</v>
      </c>
      <c r="N22" s="155">
        <f>((C28-I29)*(1+C20/100)+I29)*(1+C7/100)*((C18/100)*(1+C19/100)+(1*(1-C18/100)))*(C21*(1+(B22+0.2)/100))-((C28-I29)*(1+C20/100)+I29)*(1+C7/100)*((C18/100)*(1+C19/100)+(1*(1-C18/100)))*(C21*(1+B22/100))</f>
        <v>1818.1818181817653</v>
      </c>
    </row>
    <row r="23" spans="1:14" x14ac:dyDescent="0.2">
      <c r="A23" s="280" t="s">
        <v>24</v>
      </c>
      <c r="B23" s="161">
        <f>B21*(1+B22/100)</f>
        <v>1.54</v>
      </c>
      <c r="C23" s="161">
        <f>C21*(1+C22/100)</f>
        <v>1.54</v>
      </c>
      <c r="D23" s="162">
        <f>C23-B23</f>
        <v>0</v>
      </c>
      <c r="E23" s="152">
        <f t="shared" si="2"/>
        <v>0</v>
      </c>
      <c r="G23" s="82" t="s">
        <v>25</v>
      </c>
      <c r="H23" s="135">
        <v>0</v>
      </c>
      <c r="I23" s="155">
        <f>((((J29+1)*(1+C20/100)+I29)+(J29*(1+C20/100)+I29))/2)*(1+C7/100)*((C18/100)*(1+C19/100)+(1*(1-C18/100)))*(C23)-((((J29)*(1+C20/100)+I29)+((J29)*(1+C20/100)+I29))/2)*(1+C7/100)*((C18/100)*(1+C19/100)+(1*(1-C18/100)))*(C23)</f>
        <v>233.30999999993946</v>
      </c>
      <c r="K23" s="87"/>
      <c r="M23" s="122"/>
    </row>
    <row r="24" spans="1:14" x14ac:dyDescent="0.2">
      <c r="A24" s="280" t="s">
        <v>26</v>
      </c>
      <c r="B24" s="217">
        <v>1000000</v>
      </c>
      <c r="C24" s="163">
        <f>((((J29+H23)*(1+C20/100)+I29)+((J29+H24)*(1+C20/100)+I29))/2)*(1+C7/100)*(C23)*((C18/100)*(1+C19/100)+(1*(1-C18/100)))</f>
        <v>1000000.0000000001</v>
      </c>
      <c r="D24" s="164">
        <f>C24-B24</f>
        <v>0</v>
      </c>
      <c r="E24" s="152">
        <f t="shared" si="2"/>
        <v>0</v>
      </c>
      <c r="F24" s="165"/>
      <c r="G24" s="82" t="s">
        <v>27</v>
      </c>
      <c r="H24" s="135">
        <v>0</v>
      </c>
      <c r="I24" s="155">
        <f>(((J29*(1+C20/100)+I29)+((J29+1)*(1+C20/100)+I29))/2)*(1+C7/100)*((C18/100)*(1+C19/100)+(1*(1-C18/100)))*(C23)-(((J29*(1+C20/100)+I29)+(J29*(1+C20/100)+I29))/2)*(1+C7/100)*((C18/100)*(1+C19/100)+(1*(1-C18/100)))*(C23)</f>
        <v>233.30999999993946</v>
      </c>
      <c r="K24" s="87"/>
      <c r="M24" s="122"/>
    </row>
    <row r="25" spans="1:14" x14ac:dyDescent="0.2">
      <c r="A25" s="280" t="s">
        <v>28</v>
      </c>
      <c r="B25" s="166">
        <f>B24/B23</f>
        <v>649350.64935064933</v>
      </c>
      <c r="C25" s="166">
        <f>C24/C23</f>
        <v>649350.64935064944</v>
      </c>
      <c r="D25" s="167">
        <f t="shared" ref="D25:D36" si="5">C25-B25</f>
        <v>0</v>
      </c>
      <c r="E25" s="152">
        <f t="shared" si="2"/>
        <v>0</v>
      </c>
      <c r="H25" s="122"/>
    </row>
    <row r="26" spans="1:14" x14ac:dyDescent="0.2">
      <c r="A26" s="280" t="s">
        <v>29</v>
      </c>
      <c r="B26" s="166">
        <f>(((J29*(1+B20/100)+I29)+(J29*(1+B20/100)+I29))/2)*(1+B7/100)*(1+B19/100)</f>
        <v>1082251.0822510822</v>
      </c>
      <c r="C26" s="166">
        <f>((((J29+H23)*(1+C20/100)+I29)+((J29+H24)*(1+C20/100)+I29))/2)*(1+C7/100)*(1+C19/100)</f>
        <v>1082251.0822510822</v>
      </c>
      <c r="D26" s="167">
        <f t="shared" si="5"/>
        <v>0</v>
      </c>
      <c r="E26" s="152">
        <f t="shared" si="2"/>
        <v>0</v>
      </c>
    </row>
    <row r="27" spans="1:14" ht="15" customHeight="1" x14ac:dyDescent="0.2">
      <c r="A27" s="280" t="s">
        <v>30</v>
      </c>
      <c r="B27" s="168">
        <f>(((J29*(1+B20/100)+I29)+(J29*(1+B20/100)+I29))/2)*(1+B7/100)</f>
        <v>216450.21645021645</v>
      </c>
      <c r="C27" s="168">
        <f>((((J29+H23)*(1+C20/100)+I29)+((J29+H24)*(1+C20/100)+I29))/2)*(1+C7/100)</f>
        <v>216450.21645021645</v>
      </c>
      <c r="D27" s="167">
        <f t="shared" si="5"/>
        <v>0</v>
      </c>
      <c r="E27" s="152">
        <f t="shared" si="2"/>
        <v>0</v>
      </c>
      <c r="G27" s="298" t="s">
        <v>31</v>
      </c>
      <c r="H27" s="298"/>
      <c r="I27" s="298"/>
      <c r="J27" s="8"/>
      <c r="K27" s="8"/>
      <c r="L27" s="299" t="s">
        <v>32</v>
      </c>
      <c r="M27" s="299"/>
      <c r="N27" s="299"/>
    </row>
    <row r="28" spans="1:14" x14ac:dyDescent="0.2">
      <c r="A28" s="240" t="s">
        <v>33</v>
      </c>
      <c r="B28" s="169">
        <f>I29+(B25/((1+B7/100)*((B18/100)*(1+B19/100)+(1*(1-B18/100))))-I29)/(1+B20/100)</f>
        <v>2143.0714500021431</v>
      </c>
      <c r="C28" s="169">
        <f>I29+(C25/((1+C7/100)*((C18/100)*(1+C19/100)+(1*(1-C18/100))))-I29)/(1+C20/100)</f>
        <v>2143.0714500021436</v>
      </c>
      <c r="D28" s="170">
        <f t="shared" si="5"/>
        <v>0</v>
      </c>
      <c r="E28" s="160">
        <f t="shared" si="2"/>
        <v>0</v>
      </c>
      <c r="G28" s="171" t="s">
        <v>34</v>
      </c>
      <c r="H28" s="172" t="s">
        <v>35</v>
      </c>
      <c r="I28" s="171" t="s">
        <v>36</v>
      </c>
      <c r="J28" s="173" t="s">
        <v>37</v>
      </c>
      <c r="K28" s="8"/>
      <c r="L28" s="295" t="s">
        <v>38</v>
      </c>
      <c r="M28" s="295"/>
      <c r="N28" s="174">
        <f>J10/J12</f>
        <v>0.16825743114226777</v>
      </c>
    </row>
    <row r="29" spans="1:14" x14ac:dyDescent="0.2">
      <c r="A29" s="280" t="s">
        <v>39</v>
      </c>
      <c r="B29" s="135">
        <v>7500</v>
      </c>
      <c r="C29" s="122">
        <f>(C10+C5+C6)*(1+C11/100)</f>
        <v>7500</v>
      </c>
      <c r="D29" s="175">
        <f t="shared" si="5"/>
        <v>0</v>
      </c>
      <c r="E29" s="152">
        <f t="shared" si="2"/>
        <v>0</v>
      </c>
      <c r="G29" s="135">
        <v>0</v>
      </c>
      <c r="H29" s="133">
        <v>0</v>
      </c>
      <c r="I29" s="82">
        <f>G29+H29/2</f>
        <v>0</v>
      </c>
      <c r="J29" s="176">
        <f>(B25/((1+B7/100)*((B18/100)*(1+B19/100)+(1*(1-B18/100))))-I29)/(1+B20/100)</f>
        <v>2143.0714500021431</v>
      </c>
      <c r="L29" s="300" t="s">
        <v>40</v>
      </c>
      <c r="M29" s="300"/>
      <c r="N29" s="177">
        <f>J12/J10</f>
        <v>5.9432739060093205</v>
      </c>
    </row>
    <row r="30" spans="1:14" x14ac:dyDescent="0.2">
      <c r="A30" s="280" t="s">
        <v>41</v>
      </c>
      <c r="B30" s="135">
        <v>1500</v>
      </c>
      <c r="C30" s="122">
        <f>C12+C7/10</f>
        <v>1500</v>
      </c>
      <c r="D30" s="175">
        <f t="shared" si="5"/>
        <v>0</v>
      </c>
      <c r="E30" s="152">
        <f t="shared" si="2"/>
        <v>0</v>
      </c>
      <c r="L30" s="300" t="s">
        <v>488</v>
      </c>
      <c r="M30" s="300"/>
      <c r="N30" s="177">
        <f>O11/O12</f>
        <v>1.0137913921368149</v>
      </c>
    </row>
    <row r="31" spans="1:14" x14ac:dyDescent="0.2">
      <c r="A31" s="280" t="s">
        <v>42</v>
      </c>
      <c r="B31" s="135">
        <v>70</v>
      </c>
      <c r="C31" s="122"/>
      <c r="D31" s="178"/>
      <c r="E31" s="152"/>
      <c r="L31" s="300" t="s">
        <v>43</v>
      </c>
      <c r="M31" s="300"/>
      <c r="N31" s="177">
        <f>O12/O11</f>
        <v>0.9863962228878802</v>
      </c>
    </row>
    <row r="32" spans="1:14" x14ac:dyDescent="0.2">
      <c r="A32" s="240" t="s">
        <v>44</v>
      </c>
      <c r="B32" s="179">
        <f>1-((1-B29/(50*$B$31+B29))*((1-B30/(5*$B$31+B30))*(1-B17/6*5/100)*(1-B13/100)*(1-B14/3/100)*(1-B15/3/100)*(1-B16/3/100)))</f>
        <v>0.93980343980343983</v>
      </c>
      <c r="C32" s="179">
        <f>1-((1-C29/(50*$B$31+C29))*((1-C30/(5*$B$31+C30))*(1-C17/6*5/100)*(1-C13/100)*(1-C14/3/100)*(1-C15/3/100)*(1-C16/3/100)))</f>
        <v>0.93980343980343983</v>
      </c>
      <c r="D32" s="180">
        <f t="shared" si="5"/>
        <v>0</v>
      </c>
      <c r="E32" s="181">
        <f>IF(B32&gt;0,D32/(1-B32), 0)</f>
        <v>0</v>
      </c>
    </row>
    <row r="33" spans="1:20" x14ac:dyDescent="0.2">
      <c r="A33" s="280" t="s">
        <v>45</v>
      </c>
      <c r="B33" s="166">
        <f>((36+4*B4)+IF(B4&gt;=66,B8*(100-10*(70-B4)),IF(B4&gt;=61,B8*(55-4*(65-B4)),IF(B4&gt;=36,B8*((B4-25)),B8*10)))*(1+B9/100))</f>
        <v>437816</v>
      </c>
      <c r="C33" s="166">
        <f>((36+4*C4)+IF(C4&gt;=66,C8*(100-10*(70-C4)),IF(C4&gt;=61,C8*(55-4*(65-C4)),IF(C4&gt;=36,C8*((C4-25)),C8*10)))*(1+C9/100))</f>
        <v>437816</v>
      </c>
      <c r="D33" s="167">
        <f t="shared" si="5"/>
        <v>0</v>
      </c>
      <c r="E33" s="152">
        <f t="shared" si="2"/>
        <v>0</v>
      </c>
      <c r="G33" s="301" t="s">
        <v>46</v>
      </c>
      <c r="H33" s="301"/>
      <c r="I33" s="301"/>
      <c r="J33" s="301"/>
      <c r="K33" s="301"/>
      <c r="L33" s="301"/>
      <c r="M33" s="301"/>
      <c r="N33" s="301"/>
      <c r="O33" s="301"/>
      <c r="P33" s="301"/>
      <c r="Q33" s="301"/>
      <c r="R33" s="301"/>
      <c r="S33" s="301"/>
    </row>
    <row r="34" spans="1:20" x14ac:dyDescent="0.2">
      <c r="A34" s="280" t="s">
        <v>47</v>
      </c>
      <c r="B34" s="182">
        <f>B33*(1/(1-B32))</f>
        <v>7273106.6122449012</v>
      </c>
      <c r="C34" s="182">
        <f>C33*(1/(1-C32))</f>
        <v>7273106.6122449012</v>
      </c>
      <c r="D34" s="183">
        <f t="shared" si="5"/>
        <v>0</v>
      </c>
      <c r="E34" s="152">
        <f t="shared" si="2"/>
        <v>0</v>
      </c>
      <c r="G34" s="150" t="s">
        <v>48</v>
      </c>
      <c r="H34" s="150" t="s">
        <v>49</v>
      </c>
      <c r="I34" s="150" t="s">
        <v>50</v>
      </c>
      <c r="J34" s="150" t="s">
        <v>51</v>
      </c>
      <c r="K34" s="150" t="s">
        <v>52</v>
      </c>
      <c r="L34" s="150" t="s">
        <v>53</v>
      </c>
      <c r="M34" s="150" t="s">
        <v>54</v>
      </c>
      <c r="N34" s="150" t="s">
        <v>55</v>
      </c>
      <c r="O34" s="150" t="s">
        <v>56</v>
      </c>
      <c r="P34" s="184" t="s">
        <v>57</v>
      </c>
      <c r="Q34" s="184" t="s">
        <v>58</v>
      </c>
      <c r="R34" s="184" t="s">
        <v>59</v>
      </c>
      <c r="S34" s="184" t="s">
        <v>60</v>
      </c>
      <c r="T34" s="123"/>
    </row>
    <row r="35" spans="1:20" x14ac:dyDescent="0.2">
      <c r="A35" s="280" t="s">
        <v>61</v>
      </c>
      <c r="B35" s="177">
        <f>B6*0.0097034</f>
        <v>0.74716179999999999</v>
      </c>
      <c r="C35" s="185">
        <f>C6*0.0097034</f>
        <v>0.74716179999999999</v>
      </c>
      <c r="D35" s="186">
        <f t="shared" si="5"/>
        <v>0</v>
      </c>
      <c r="E35" s="152">
        <f t="shared" si="2"/>
        <v>0</v>
      </c>
      <c r="G35" s="187" t="s">
        <v>62</v>
      </c>
      <c r="H35" s="135">
        <v>0</v>
      </c>
      <c r="K35" s="188">
        <f>1-((1-($C$10+$C$5+$C$6)*(1+($C$11+$H35)/100)/(50*$B$31+($C$10+$C$5+$C$6)*(1+($C$11+$H35)/100)))*((1-$C$30/(5*$B$31+$C$30))*(1-$C$17/6*5/100)*(1-$C$13/100)*(1-$C$14/3/100)*(1-$C$15/3/100)*(1-$C$16/3/100)))</f>
        <v>0.93980343980343983</v>
      </c>
      <c r="L35" s="189">
        <f>K35-$C$32</f>
        <v>0</v>
      </c>
      <c r="M35" s="190">
        <f>$C$33*(1/(1-K35))</f>
        <v>7273106.6122449012</v>
      </c>
      <c r="N35" s="190">
        <f>M35-$C$34</f>
        <v>0</v>
      </c>
    </row>
    <row r="36" spans="1:20" x14ac:dyDescent="0.2">
      <c r="A36" s="280" t="s">
        <v>63</v>
      </c>
      <c r="B36" s="190">
        <f>B34*(1+B35/100)</f>
        <v>7327448.4865248697</v>
      </c>
      <c r="C36" s="191">
        <f>C34*(1+C35/100)</f>
        <v>7327448.4865248697</v>
      </c>
      <c r="D36" s="186">
        <f t="shared" si="5"/>
        <v>0</v>
      </c>
      <c r="E36" s="152">
        <f t="shared" si="2"/>
        <v>0</v>
      </c>
      <c r="G36" s="187" t="s">
        <v>64</v>
      </c>
      <c r="H36" s="135">
        <v>0</v>
      </c>
      <c r="K36" s="188">
        <f>1-((1-$C$29/(50*$B$31+$C$29))*((1-$C$30*(1+$H36/100)/(5*$B$31+$C$30*(1+$H36/100)))*(1-$C$17/6*5/100)*(1-$C$13/100)*(1-$C$14/3/100)*(1-$C$15/3/100)*(1-$C$16/3/100)))</f>
        <v>0.93980343980343983</v>
      </c>
      <c r="L36" s="189">
        <f>K36-$C$32</f>
        <v>0</v>
      </c>
      <c r="M36" s="190">
        <f>$C$33*(1/(1-K36))</f>
        <v>7273106.6122449012</v>
      </c>
      <c r="N36" s="190">
        <f>M36-$C$34</f>
        <v>0</v>
      </c>
      <c r="O36" s="192">
        <f>(($C$30+$C$30*($H36/100))-$C$30)*10</f>
        <v>0</v>
      </c>
    </row>
    <row r="37" spans="1:20" x14ac:dyDescent="0.2">
      <c r="G37" s="187" t="s">
        <v>65</v>
      </c>
      <c r="H37" s="135">
        <v>0</v>
      </c>
      <c r="K37" s="188">
        <f>(1-((1-$C$29/(50*$B$31+$C$29))*((1-$C$30/(5*$B$31+$C$30))*((1-$C$17/6*5/100)*(1-$C$13/100)*(1-$H37/100)*(1-$C$14/3/100)*(1-$C$15/3/100)*(1-$C$16/3/100)))))</f>
        <v>0.93980343980343983</v>
      </c>
      <c r="L37" s="189">
        <f>K37-$C$32</f>
        <v>0</v>
      </c>
      <c r="M37" s="190">
        <f>$C$33*(1/(1-K37))</f>
        <v>7273106.6122449012</v>
      </c>
      <c r="N37" s="190">
        <f>M37-$C$34</f>
        <v>0</v>
      </c>
      <c r="O37" s="192"/>
    </row>
    <row r="38" spans="1:20" x14ac:dyDescent="0.2">
      <c r="A38" s="296" t="s">
        <v>590</v>
      </c>
      <c r="B38" s="296"/>
      <c r="C38" s="296"/>
      <c r="G38" s="187" t="s">
        <v>66</v>
      </c>
      <c r="H38" s="135">
        <v>0</v>
      </c>
      <c r="I38" s="193">
        <f>(((($J$29+$H$23)*(1+$C$20/100)+$I$29)+(($J$29+$H$24)*(1+$C$20/100)+$I$29))/2)*(1+$C$7/100)*($C$18/100*(100+$C$19)/100+(100-$C$18)/100)*(1+$H38/100)*(1+$H39/100)*(1+$H40/100)*$C$23</f>
        <v>1000000</v>
      </c>
      <c r="J38" s="194">
        <f>((((($J$29+$H$23)*(1+$C$20/100)+$I$29)+(($J$29+$H$24)*(1+$C$20/100)+$I$29))/2)*(1+$C$7/100)*($C$18/100*(100+$C$19)/100+(100-$C$18)/100)*(1+$H38/100)*(1+$H39/100)*(1+$H40/100)*$C$23)-((((($J$29+$H$23)*(1+$C$20/100)+$I$29)+(($J$29+$H$24)*(1+$C$20/100)+$I$29))/2)*(1+$C$7/100)*($C$18/100*(100+$C$19)/100+(100-$C$18)/100)*(1+$H39/100)*(1+$H40/100)*$C$23)</f>
        <v>0</v>
      </c>
      <c r="K38" s="123"/>
      <c r="L38" s="123"/>
      <c r="M38" s="123"/>
      <c r="N38" s="123"/>
      <c r="O38" s="195">
        <f>J38/$I$7</f>
        <v>0</v>
      </c>
      <c r="P38" s="196">
        <f>J38/$I$18</f>
        <v>0</v>
      </c>
      <c r="Q38" s="196">
        <f>J38/$I$19</f>
        <v>0</v>
      </c>
      <c r="R38" s="197">
        <f>J38/($I$23+$I$24)</f>
        <v>0</v>
      </c>
      <c r="S38" s="198">
        <f>J38/$I$20</f>
        <v>0</v>
      </c>
      <c r="T38" s="123"/>
    </row>
    <row r="39" spans="1:20" x14ac:dyDescent="0.2">
      <c r="A39" s="240" t="s">
        <v>591</v>
      </c>
      <c r="B39" s="240" t="s">
        <v>592</v>
      </c>
      <c r="C39" s="240" t="s">
        <v>593</v>
      </c>
      <c r="G39" s="199" t="s">
        <v>67</v>
      </c>
      <c r="H39" s="127">
        <v>0</v>
      </c>
      <c r="I39" s="193">
        <f>(((($J$29+$H$23)*(1+$C$20/100)+$I$29)+(($J$29+$H$24)*(1+$C$20/100)+$I$29))/2)*(1+$C$7/100)*($C$18/100*(100+$C$19)/100+(100-$C$18)/100)*(1+$H38/100)*(1+$H39/100)*(1+$H40/100)*$C$23</f>
        <v>1000000</v>
      </c>
      <c r="J39" s="194">
        <f>((((($J$29+$H$23)*(1+$C$20/100)+$I$29)+(($J$29+$H$24)*(1+$C$20/100)+$I$29))/2)*(1+$C$7/100)*($C$18/100*(100+$C$19)/100+(100-$C$18)/100)*(1+$H38/100)*(1+$H39/100)*(1+$H40/100)*$C$23)-((((($J$29+$H$23)*(1+$C$20/100)+$I$29)+(($J$29+$H$24)*(1+$C$20/100)+$I$29))/2)*(1+$C$7/100)*($C$18/100*(100+$C$19)/100+(100-$C$18)/100)*(1+$H38/100)*(1+$H40/100)*$C$23)</f>
        <v>0</v>
      </c>
      <c r="K39" s="123"/>
      <c r="L39" s="123"/>
      <c r="M39" s="123"/>
      <c r="N39" s="123"/>
      <c r="O39" s="195">
        <f>J39/$I$7</f>
        <v>0</v>
      </c>
      <c r="P39" s="196">
        <f>J39/$I$18</f>
        <v>0</v>
      </c>
      <c r="Q39" s="196">
        <f>J39/$I$19</f>
        <v>0</v>
      </c>
      <c r="R39" s="197">
        <f>J39/($I$23+$I$24)</f>
        <v>0</v>
      </c>
      <c r="S39" s="198">
        <f>J39/$I$20</f>
        <v>0</v>
      </c>
    </row>
    <row r="40" spans="1:20" x14ac:dyDescent="0.2">
      <c r="A40" s="135">
        <v>1.4</v>
      </c>
      <c r="B40" s="135">
        <v>7</v>
      </c>
      <c r="C40" s="235">
        <f>A40*(1+B40/100)</f>
        <v>1.498</v>
      </c>
      <c r="E40" s="200"/>
      <c r="G40" s="187" t="s">
        <v>68</v>
      </c>
      <c r="H40" s="138">
        <v>0</v>
      </c>
      <c r="I40" s="201">
        <f>(((($J$29+$H$23)*(1+$C$20/100)+$I$29)+(($J$29+$H$24)*(1+$C$20/100)+$I$29))/2)*(1+$C$7/100)*($C$18/100*(100+$C$19)/100+(100-$C$18)/100)*(1+$H38/100)*(1+$H39/100)*(1+$H40/100)*$C$23</f>
        <v>1000000</v>
      </c>
      <c r="J40" s="202">
        <f>((((($J$29+$H$23)*(1+$C$20/100)+$I$29)+(($J$29+$H$24)*(1+$C$20/100)+$I$29))/2)*(1+$C$7/100)*($C$18/100*(100+$C$19)/100+(100-$C$18)/100)*(1+$H38/100)*(1+$H39/100)*(1+$H40/100)*$C$23)-((((($J$29+$H$23)*(1+$C$20/100)+$I$29)+(($J$29+$H$24)*(1+$C$20/100)+$I$29))/2)*(1+$C$7/100)*($C$18/100*(100+$C$19)/100+(100-$C$18)/100)*(1+$H38/100)*(1+$H39/100)*$C$23)</f>
        <v>0</v>
      </c>
      <c r="K40" s="240"/>
      <c r="L40" s="136"/>
      <c r="M40" s="136"/>
      <c r="N40" s="136"/>
      <c r="O40" s="203">
        <f>J40/$I$7</f>
        <v>0</v>
      </c>
      <c r="P40" s="204">
        <f>J40/$I$18</f>
        <v>0</v>
      </c>
      <c r="Q40" s="204">
        <f>J40/$I$19</f>
        <v>0</v>
      </c>
      <c r="R40" s="205">
        <f>J40/($I$23+$I$24)</f>
        <v>0</v>
      </c>
      <c r="S40" s="206">
        <f>J40/$I$20</f>
        <v>0</v>
      </c>
    </row>
    <row r="41" spans="1:20" x14ac:dyDescent="0.2">
      <c r="E41" s="200"/>
      <c r="H41" s="94" t="s">
        <v>69</v>
      </c>
      <c r="I41" s="207">
        <f>(((($J$29+$H$23)*(1+$C$20/100)+$I$29)+(($J$29+$H$24)*(1+$C$20/100)+$I$29))/2)*(1+$C$7/100)*($C$18/100*(100+$C$19)/100+(100-$C$18)/100)*(1+$H38/100)*(1+$H39/100)*(1+$H40/100)*$C$23</f>
        <v>1000000</v>
      </c>
      <c r="J41" s="208">
        <f>I41-$C$24</f>
        <v>0</v>
      </c>
      <c r="K41" s="209">
        <f>1-((1-($C$10+$C$5+$C$6)*(1+($C$11+$H35)/100)/(50*$B$31+($C$10+$C$5+$C$6)*(1+($C$11+$H35)/100)))*((1-$C$30*(1+$H36/100)/(5*$B$31+$C$30*(1+$H36/100)))*((1-$C$17/6*5/100)*(1-$C$13/100)*(1-$H37/100)*(1-$C$14/3/100)*(1-$C$15/3/100)*(1-$C$16/3/100))))</f>
        <v>0.93980343980343983</v>
      </c>
      <c r="L41" s="210">
        <f>K41-$C$32</f>
        <v>0</v>
      </c>
      <c r="M41" s="211">
        <f>$C$33*(1/(1-K41))</f>
        <v>7273106.6122449012</v>
      </c>
      <c r="N41" s="211">
        <f>M41-$C$34</f>
        <v>0</v>
      </c>
      <c r="O41" s="95">
        <f>J41/$I$7</f>
        <v>0</v>
      </c>
      <c r="P41" s="212">
        <f>J41/$I$18</f>
        <v>0</v>
      </c>
      <c r="Q41" s="212">
        <f>J41/$I$19</f>
        <v>0</v>
      </c>
      <c r="R41" s="213">
        <f>J41/($I$23+$I$24)</f>
        <v>0</v>
      </c>
      <c r="S41" s="214">
        <f>J41/$I$20</f>
        <v>0</v>
      </c>
    </row>
    <row r="42" spans="1:20" x14ac:dyDescent="0.2">
      <c r="A42" s="296" t="s">
        <v>594</v>
      </c>
      <c r="B42" s="296"/>
      <c r="C42" s="296"/>
      <c r="D42" s="296"/>
      <c r="E42" s="296"/>
      <c r="F42" s="296"/>
    </row>
    <row r="43" spans="1:20" x14ac:dyDescent="0.2">
      <c r="A43" s="240" t="s">
        <v>595</v>
      </c>
      <c r="B43" s="240" t="s">
        <v>596</v>
      </c>
      <c r="C43" s="240" t="s">
        <v>597</v>
      </c>
      <c r="D43" s="240" t="s">
        <v>598</v>
      </c>
      <c r="E43" s="240" t="s">
        <v>599</v>
      </c>
      <c r="F43" s="240" t="s">
        <v>600</v>
      </c>
    </row>
    <row r="44" spans="1:20" x14ac:dyDescent="0.2">
      <c r="A44" s="138">
        <v>3100</v>
      </c>
      <c r="B44" s="251">
        <v>475</v>
      </c>
      <c r="C44" s="135">
        <v>575</v>
      </c>
      <c r="D44" s="135">
        <v>0</v>
      </c>
      <c r="E44" s="135">
        <v>0</v>
      </c>
      <c r="F44" s="127">
        <v>1.4</v>
      </c>
    </row>
    <row r="45" spans="1:20" x14ac:dyDescent="0.2">
      <c r="A45" s="239" t="s">
        <v>601</v>
      </c>
      <c r="B45" s="228">
        <f>(A44/F44+((B44+D44+C44+E44)/2))*F44*(1+C7/100)*(CSCC*CSCHD/10000+1)*(1+CSIAS/100)</f>
        <v>1278205.4999999998</v>
      </c>
      <c r="C45" s="235"/>
      <c r="D45" s="235"/>
      <c r="E45" s="200"/>
      <c r="F45" s="235"/>
    </row>
    <row r="46" spans="1:20" x14ac:dyDescent="0.2">
      <c r="E46" s="200"/>
    </row>
    <row r="47" spans="1:20" x14ac:dyDescent="0.2">
      <c r="A47" s="296" t="s">
        <v>602</v>
      </c>
      <c r="B47" s="296"/>
      <c r="C47" s="296"/>
      <c r="D47" s="296"/>
      <c r="E47" s="296"/>
      <c r="F47" s="296"/>
      <c r="G47" s="296"/>
      <c r="H47" s="296"/>
      <c r="I47" s="296"/>
      <c r="J47" s="296"/>
    </row>
    <row r="48" spans="1:20" x14ac:dyDescent="0.2">
      <c r="A48" s="123"/>
      <c r="B48" s="123"/>
      <c r="C48" s="294" t="s">
        <v>603</v>
      </c>
      <c r="D48" s="294"/>
      <c r="E48" s="294"/>
      <c r="F48" s="297"/>
      <c r="G48" s="292" t="s">
        <v>604</v>
      </c>
      <c r="H48" s="292"/>
      <c r="I48" s="292"/>
      <c r="J48" s="292"/>
      <c r="L48" s="296" t="s">
        <v>617</v>
      </c>
      <c r="M48" s="296"/>
      <c r="N48" s="296"/>
      <c r="O48" s="296"/>
      <c r="P48" s="296"/>
    </row>
    <row r="49" spans="1:16" x14ac:dyDescent="0.2">
      <c r="A49" s="139" t="s">
        <v>48</v>
      </c>
      <c r="B49" s="252" t="s">
        <v>24</v>
      </c>
      <c r="C49" s="236" t="s">
        <v>34</v>
      </c>
      <c r="D49" s="236" t="s">
        <v>35</v>
      </c>
      <c r="E49" s="236" t="s">
        <v>26</v>
      </c>
      <c r="F49" s="236" t="s">
        <v>605</v>
      </c>
      <c r="G49" s="253" t="s">
        <v>34</v>
      </c>
      <c r="H49" s="254" t="s">
        <v>35</v>
      </c>
      <c r="I49" s="254" t="s">
        <v>26</v>
      </c>
      <c r="J49" s="254" t="s">
        <v>605</v>
      </c>
      <c r="L49" s="235" t="s">
        <v>618</v>
      </c>
      <c r="M49" s="135">
        <v>2460.1999999999998</v>
      </c>
      <c r="N49" s="236" t="s">
        <v>619</v>
      </c>
      <c r="O49" s="236" t="s">
        <v>603</v>
      </c>
      <c r="P49" s="236" t="s">
        <v>620</v>
      </c>
    </row>
    <row r="50" spans="1:16" x14ac:dyDescent="0.2">
      <c r="A50" s="255" t="s">
        <v>606</v>
      </c>
      <c r="B50" s="256">
        <v>1</v>
      </c>
      <c r="C50" s="123">
        <f>(1737+1870)*(1.1)</f>
        <v>3967.7000000000003</v>
      </c>
      <c r="D50" s="123">
        <f>(1737+2325)*(1.1)</f>
        <v>4468.2000000000007</v>
      </c>
      <c r="E50" s="123">
        <f t="shared" ref="E50:E59" si="6">(C50+D50)/2*B50</f>
        <v>4217.9500000000007</v>
      </c>
      <c r="F50" s="235">
        <f>E50*1.07</f>
        <v>4513.2065000000011</v>
      </c>
      <c r="G50" s="238">
        <f>(1737+1439)*(1.1)</f>
        <v>3493.6000000000004</v>
      </c>
      <c r="H50" s="123">
        <f>(1912+1788)*(1.1)</f>
        <v>4070.0000000000005</v>
      </c>
      <c r="I50" s="123">
        <f t="shared" ref="I50:I59" si="7">(G50+H50)/2*B50</f>
        <v>3781.8</v>
      </c>
      <c r="J50" s="123">
        <f>I50*1.07</f>
        <v>4046.5260000000003</v>
      </c>
      <c r="L50" s="235" t="s">
        <v>621</v>
      </c>
      <c r="M50" s="135">
        <v>1400</v>
      </c>
      <c r="N50" s="235" t="s">
        <v>33</v>
      </c>
      <c r="O50" s="235">
        <f>(((M49/(M52*(1+M54/100)))/(1+M53/100)-(M50+M51)/2)+IF(M52&gt;1.15,IF(M52&gt;1.4,1532,1750),2097.5))*(1+M53/100)*M52*(1+M54/100)</f>
        <v>2640.2</v>
      </c>
      <c r="P50" s="235">
        <f>(((M49/(M52*(1+M54/100)))/(1+M53/100)-(M50+M51)/2)+IF(M52&gt;1.15,IF(M52&gt;1.4,1176.5,1344.4),1613.5))*(1+M53/100)*M52*(1+M54/100)</f>
        <v>2153.48</v>
      </c>
    </row>
    <row r="51" spans="1:16" x14ac:dyDescent="0.2">
      <c r="A51" s="255" t="s">
        <v>607</v>
      </c>
      <c r="B51" s="256">
        <v>1.1000000000000001</v>
      </c>
      <c r="C51" s="123">
        <f>(1384+1870)*(1.1)</f>
        <v>3579.4</v>
      </c>
      <c r="D51" s="123">
        <f>(1685+2325)*(1.1)</f>
        <v>4411</v>
      </c>
      <c r="E51" s="123">
        <f t="shared" si="6"/>
        <v>4394.72</v>
      </c>
      <c r="F51" s="235">
        <f t="shared" ref="F51:F59" si="8">E51*1.07</f>
        <v>4702.3504000000003</v>
      </c>
      <c r="G51" s="238">
        <f>(1384+1439)*(1.1)</f>
        <v>3105.3</v>
      </c>
      <c r="H51" s="123">
        <f>(1685+1788)*(1.1)</f>
        <v>3820.3</v>
      </c>
      <c r="I51" s="123">
        <f t="shared" si="7"/>
        <v>3809.0800000000004</v>
      </c>
      <c r="J51" s="123">
        <f t="shared" ref="J51:J59" si="9">I51*1.07</f>
        <v>4075.7156000000004</v>
      </c>
      <c r="L51" s="235" t="s">
        <v>622</v>
      </c>
      <c r="M51" s="135">
        <v>1800</v>
      </c>
      <c r="N51" s="235" t="s">
        <v>623</v>
      </c>
      <c r="O51" s="235">
        <f>((M49/(1+M53/100))/(M52*(1+M54/100)))*1.1*M52*(1+M54/100)</f>
        <v>2706.22</v>
      </c>
      <c r="P51" s="235">
        <f>((M49/(1+M53/100))/(M52*(1+M54/100)))*1.1*M52*(1+M54/100)</f>
        <v>2706.22</v>
      </c>
    </row>
    <row r="52" spans="1:16" x14ac:dyDescent="0.2">
      <c r="A52" s="255" t="s">
        <v>608</v>
      </c>
      <c r="B52" s="256">
        <v>1.1000000000000001</v>
      </c>
      <c r="C52" s="123">
        <f>(1229+1870)*(1.1)</f>
        <v>3408.9</v>
      </c>
      <c r="D52" s="123">
        <f>(1839+2325)*(1.1)</f>
        <v>4580.4000000000005</v>
      </c>
      <c r="E52" s="123">
        <f t="shared" si="6"/>
        <v>4394.1150000000007</v>
      </c>
      <c r="F52" s="235">
        <f t="shared" si="8"/>
        <v>4701.703050000001</v>
      </c>
      <c r="G52" s="238">
        <f>(1229+1439)*(1.1)</f>
        <v>2934.8</v>
      </c>
      <c r="H52" s="123">
        <f>(1839+1788)*(1.1)</f>
        <v>3989.7000000000003</v>
      </c>
      <c r="I52" s="123">
        <f t="shared" si="7"/>
        <v>3808.4750000000004</v>
      </c>
      <c r="J52" s="123">
        <f t="shared" si="9"/>
        <v>4075.0682500000007</v>
      </c>
      <c r="L52" s="235" t="s">
        <v>591</v>
      </c>
      <c r="M52" s="135">
        <v>1.2</v>
      </c>
      <c r="N52" s="235" t="s">
        <v>624</v>
      </c>
      <c r="O52" s="235">
        <f>((M49/(1+M53/100))/(M52*(1+M54/100)))*(1+M53/100)*M52*1.07</f>
        <v>2632.4139999999998</v>
      </c>
      <c r="P52" s="235">
        <f>((M49/(1+M53/100))/(M52*(1+M54/100)))*(1+M53/100)*M52*1.07</f>
        <v>2632.4139999999998</v>
      </c>
    </row>
    <row r="53" spans="1:16" x14ac:dyDescent="0.2">
      <c r="A53" s="255" t="s">
        <v>609</v>
      </c>
      <c r="B53" s="256">
        <v>1.1499999999999999</v>
      </c>
      <c r="C53" s="123">
        <f>(1137+1870)*(1.1)</f>
        <v>3307.7000000000003</v>
      </c>
      <c r="D53" s="123">
        <f>(1702+2325)*(1.1)</f>
        <v>4429.7000000000007</v>
      </c>
      <c r="E53" s="123">
        <f t="shared" si="6"/>
        <v>4449.0050000000001</v>
      </c>
      <c r="F53" s="235">
        <f t="shared" si="8"/>
        <v>4760.4353500000007</v>
      </c>
      <c r="G53" s="238">
        <f>(1137+1439)*(1.1)</f>
        <v>2833.6000000000004</v>
      </c>
      <c r="H53" s="123">
        <f>(1702+1788)*(1.1)</f>
        <v>3839.0000000000005</v>
      </c>
      <c r="I53" s="123">
        <f t="shared" si="7"/>
        <v>3836.7449999999999</v>
      </c>
      <c r="J53" s="123">
        <f t="shared" si="9"/>
        <v>4105.3171499999999</v>
      </c>
      <c r="L53" s="235" t="s">
        <v>625</v>
      </c>
      <c r="M53" s="135">
        <v>0</v>
      </c>
      <c r="N53" s="235"/>
      <c r="O53" s="235"/>
      <c r="P53" s="235"/>
    </row>
    <row r="54" spans="1:16" x14ac:dyDescent="0.2">
      <c r="A54" s="255" t="s">
        <v>610</v>
      </c>
      <c r="B54" s="256">
        <v>1.2</v>
      </c>
      <c r="C54" s="123">
        <f>(316+1560)*(1.1)</f>
        <v>2063.6000000000004</v>
      </c>
      <c r="D54" s="123">
        <f>(585+1940)*(1.1)</f>
        <v>2777.5</v>
      </c>
      <c r="E54" s="123">
        <f t="shared" si="6"/>
        <v>2904.6600000000003</v>
      </c>
      <c r="F54" s="235">
        <f t="shared" si="8"/>
        <v>3107.9862000000007</v>
      </c>
      <c r="G54" s="238">
        <f>(316+1199)*(1.1)</f>
        <v>1666.5000000000002</v>
      </c>
      <c r="H54" s="123">
        <f>(585+1490)*(1.1)</f>
        <v>2282.5</v>
      </c>
      <c r="I54" s="123">
        <f t="shared" si="7"/>
        <v>2369.4</v>
      </c>
      <c r="J54" s="123">
        <f t="shared" si="9"/>
        <v>2535.2580000000003</v>
      </c>
      <c r="L54" s="235" t="s">
        <v>626</v>
      </c>
      <c r="M54" s="135">
        <v>0</v>
      </c>
      <c r="N54" s="235"/>
      <c r="O54" s="235"/>
      <c r="P54" s="235"/>
    </row>
    <row r="55" spans="1:16" x14ac:dyDescent="0.2">
      <c r="A55" s="255" t="s">
        <v>611</v>
      </c>
      <c r="B55" s="256">
        <v>1.2</v>
      </c>
      <c r="C55" s="123">
        <f>(353+1560)*(1.1)</f>
        <v>2104.3000000000002</v>
      </c>
      <c r="D55" s="123">
        <f>(526+1940)*(1.1)</f>
        <v>2712.6000000000004</v>
      </c>
      <c r="E55" s="123">
        <f t="shared" si="6"/>
        <v>2890.1400000000003</v>
      </c>
      <c r="F55" s="235">
        <f t="shared" si="8"/>
        <v>3092.4498000000003</v>
      </c>
      <c r="G55" s="238">
        <f>(353+1199)*1.1</f>
        <v>1707.2</v>
      </c>
      <c r="H55" s="123">
        <f>(526+1490)*(1.1)</f>
        <v>2217.6000000000004</v>
      </c>
      <c r="I55" s="123">
        <f t="shared" si="7"/>
        <v>2354.88</v>
      </c>
      <c r="J55" s="123">
        <f t="shared" si="9"/>
        <v>2519.7216000000003</v>
      </c>
    </row>
    <row r="56" spans="1:16" x14ac:dyDescent="0.2">
      <c r="A56" s="255" t="s">
        <v>612</v>
      </c>
      <c r="B56" s="256">
        <v>1.3</v>
      </c>
      <c r="C56" s="123">
        <f>(249+1560)*(1.1)</f>
        <v>1989.9</v>
      </c>
      <c r="D56" s="123">
        <f>(461+1940)*(1.1)</f>
        <v>2641.1000000000004</v>
      </c>
      <c r="E56" s="123">
        <f t="shared" si="6"/>
        <v>3010.15</v>
      </c>
      <c r="F56" s="235">
        <f t="shared" si="8"/>
        <v>3220.8605000000002</v>
      </c>
      <c r="G56" s="238">
        <f>(249+1199)*(1.1)</f>
        <v>1592.8000000000002</v>
      </c>
      <c r="H56" s="123">
        <f>(461+1490)*(1.1)</f>
        <v>2146.1000000000004</v>
      </c>
      <c r="I56" s="123">
        <f t="shared" si="7"/>
        <v>2430.2850000000003</v>
      </c>
      <c r="J56" s="123">
        <f t="shared" si="9"/>
        <v>2600.4049500000006</v>
      </c>
    </row>
    <row r="57" spans="1:16" x14ac:dyDescent="0.2">
      <c r="A57" s="255" t="s">
        <v>613</v>
      </c>
      <c r="B57" s="256">
        <v>1.4</v>
      </c>
      <c r="C57" s="123">
        <f>(168+1560)*(1.1)</f>
        <v>1900.8000000000002</v>
      </c>
      <c r="D57" s="123">
        <f>(392+1940)*(1.1)</f>
        <v>2565.2000000000003</v>
      </c>
      <c r="E57" s="123">
        <f t="shared" si="6"/>
        <v>3126.2</v>
      </c>
      <c r="F57" s="235">
        <f t="shared" si="8"/>
        <v>3345.0340000000001</v>
      </c>
      <c r="G57" s="238">
        <f>(168+1199)*(1.1)</f>
        <v>1503.7</v>
      </c>
      <c r="H57" s="123">
        <f>(392+1490)*(1.1)</f>
        <v>2070.2000000000003</v>
      </c>
      <c r="I57" s="123">
        <f t="shared" si="7"/>
        <v>2501.73</v>
      </c>
      <c r="J57" s="123">
        <f t="shared" si="9"/>
        <v>2676.8511000000003</v>
      </c>
    </row>
    <row r="58" spans="1:16" x14ac:dyDescent="0.2">
      <c r="A58" s="259" t="s">
        <v>639</v>
      </c>
      <c r="B58" s="256">
        <v>1.4</v>
      </c>
      <c r="C58" s="123">
        <f>(117+1560)*(1.1)</f>
        <v>1844.7</v>
      </c>
      <c r="D58" s="123">
        <f>(469+1940)*(1.1)</f>
        <v>2649.9</v>
      </c>
      <c r="E58" s="123">
        <f t="shared" si="6"/>
        <v>3146.2200000000003</v>
      </c>
      <c r="F58" s="235">
        <f t="shared" si="8"/>
        <v>3366.4554000000003</v>
      </c>
      <c r="G58" s="238">
        <f>(117+1199)*(1.1)</f>
        <v>1447.6000000000001</v>
      </c>
      <c r="H58" s="123">
        <f>(469+1490)*(1.1)</f>
        <v>2154.9</v>
      </c>
      <c r="I58" s="123">
        <f t="shared" si="7"/>
        <v>2521.75</v>
      </c>
      <c r="J58" s="123">
        <f t="shared" si="9"/>
        <v>2698.2725</v>
      </c>
    </row>
    <row r="59" spans="1:16" x14ac:dyDescent="0.2">
      <c r="A59" s="255" t="s">
        <v>614</v>
      </c>
      <c r="B59" s="256">
        <v>1.5</v>
      </c>
      <c r="C59" s="123">
        <f>(107+1365)*(1.1)</f>
        <v>1619.2</v>
      </c>
      <c r="D59" s="123">
        <f>(321+1700)*(1.1)</f>
        <v>2223.1000000000004</v>
      </c>
      <c r="E59" s="123">
        <f t="shared" si="6"/>
        <v>2881.7250000000004</v>
      </c>
      <c r="F59" s="235">
        <f t="shared" si="8"/>
        <v>3083.4457500000008</v>
      </c>
      <c r="G59" s="238">
        <f>(107+1049)*(1.1)</f>
        <v>1271.6000000000001</v>
      </c>
      <c r="H59" s="123">
        <f>(321+1304)*(1.1)</f>
        <v>1787.5000000000002</v>
      </c>
      <c r="I59" s="123">
        <f t="shared" si="7"/>
        <v>2294.3250000000003</v>
      </c>
      <c r="J59" s="123">
        <f t="shared" si="9"/>
        <v>2454.9277500000003</v>
      </c>
    </row>
    <row r="60" spans="1:16" x14ac:dyDescent="0.2">
      <c r="A60" s="255" t="s">
        <v>615</v>
      </c>
      <c r="B60" s="256"/>
      <c r="C60" s="123">
        <v>485</v>
      </c>
      <c r="D60" s="123">
        <v>600</v>
      </c>
      <c r="E60" s="123"/>
      <c r="F60" s="235"/>
      <c r="G60" s="238">
        <v>370</v>
      </c>
      <c r="H60" s="123">
        <v>450</v>
      </c>
      <c r="I60" s="123"/>
      <c r="J60" s="123"/>
    </row>
    <row r="61" spans="1:16" x14ac:dyDescent="0.2">
      <c r="A61" s="255" t="s">
        <v>616</v>
      </c>
      <c r="B61" s="256"/>
      <c r="C61" s="123">
        <v>105</v>
      </c>
      <c r="D61" s="123">
        <v>210</v>
      </c>
      <c r="E61" s="235"/>
      <c r="F61" s="235"/>
      <c r="G61" s="238">
        <v>80</v>
      </c>
      <c r="H61" s="123">
        <v>160</v>
      </c>
      <c r="I61" s="123"/>
      <c r="J61" s="123"/>
    </row>
    <row r="63" spans="1:16" x14ac:dyDescent="0.2">
      <c r="A63" s="296" t="s">
        <v>627</v>
      </c>
      <c r="B63" s="296"/>
      <c r="C63" s="296"/>
      <c r="D63" s="296"/>
      <c r="E63" s="296"/>
      <c r="F63" s="296"/>
      <c r="G63" s="296"/>
      <c r="H63" s="296"/>
      <c r="I63" s="296"/>
      <c r="J63" s="296"/>
      <c r="K63" s="296"/>
      <c r="L63" s="296"/>
      <c r="M63" s="296"/>
      <c r="N63" s="296"/>
    </row>
    <row r="64" spans="1:16" x14ac:dyDescent="0.2">
      <c r="A64" s="139" t="s">
        <v>628</v>
      </c>
      <c r="B64" s="275" t="s">
        <v>12</v>
      </c>
      <c r="C64" s="275" t="s">
        <v>13</v>
      </c>
      <c r="D64" s="275" t="s">
        <v>14</v>
      </c>
      <c r="E64" s="275" t="s">
        <v>15</v>
      </c>
      <c r="F64" s="275" t="s">
        <v>629</v>
      </c>
      <c r="G64" s="275" t="s">
        <v>21</v>
      </c>
      <c r="H64" s="275" t="s">
        <v>23</v>
      </c>
      <c r="I64" s="275" t="s">
        <v>16</v>
      </c>
      <c r="J64" s="275" t="s">
        <v>442</v>
      </c>
      <c r="K64" s="275" t="s">
        <v>41</v>
      </c>
      <c r="L64" s="275" t="s">
        <v>670</v>
      </c>
      <c r="M64" s="275" t="s">
        <v>673</v>
      </c>
      <c r="N64" s="254" t="s">
        <v>671</v>
      </c>
    </row>
    <row r="65" spans="1:14" x14ac:dyDescent="0.2">
      <c r="A65" s="255" t="s">
        <v>630</v>
      </c>
      <c r="B65" s="135">
        <v>0</v>
      </c>
      <c r="C65" s="135">
        <v>0</v>
      </c>
      <c r="D65" s="135">
        <v>1000</v>
      </c>
      <c r="E65" s="135">
        <v>0</v>
      </c>
      <c r="F65" s="135">
        <v>6</v>
      </c>
      <c r="G65" s="135">
        <v>0</v>
      </c>
      <c r="H65" s="135">
        <v>0</v>
      </c>
      <c r="I65" s="135">
        <v>0</v>
      </c>
      <c r="J65" s="135">
        <v>675</v>
      </c>
      <c r="K65" s="135">
        <v>0</v>
      </c>
      <c r="L65" s="135">
        <v>0</v>
      </c>
      <c r="M65" s="135">
        <v>0</v>
      </c>
      <c r="N65" s="135">
        <v>0</v>
      </c>
    </row>
    <row r="66" spans="1:14" x14ac:dyDescent="0.2">
      <c r="A66" s="255" t="s">
        <v>91</v>
      </c>
      <c r="B66" s="135">
        <v>0</v>
      </c>
      <c r="C66" s="135">
        <v>0</v>
      </c>
      <c r="D66" s="135">
        <v>650</v>
      </c>
      <c r="E66" s="135">
        <v>650</v>
      </c>
      <c r="F66" s="135">
        <v>0</v>
      </c>
      <c r="G66" s="135">
        <v>0</v>
      </c>
      <c r="H66" s="135">
        <v>0</v>
      </c>
      <c r="I66" s="135">
        <v>0</v>
      </c>
      <c r="J66" s="135">
        <v>625</v>
      </c>
      <c r="K66" s="135">
        <v>0</v>
      </c>
      <c r="L66" s="135">
        <v>0</v>
      </c>
      <c r="M66" s="135">
        <v>0</v>
      </c>
      <c r="N66" s="135">
        <v>0</v>
      </c>
    </row>
    <row r="67" spans="1:14" x14ac:dyDescent="0.2">
      <c r="A67" s="255" t="s">
        <v>94</v>
      </c>
      <c r="B67" s="135">
        <v>0</v>
      </c>
      <c r="C67" s="135">
        <v>0</v>
      </c>
      <c r="D67" s="135">
        <v>650</v>
      </c>
      <c r="E67" s="135">
        <v>650</v>
      </c>
      <c r="F67" s="135">
        <v>0</v>
      </c>
      <c r="G67" s="135">
        <v>0</v>
      </c>
      <c r="H67" s="135">
        <v>0</v>
      </c>
      <c r="I67" s="135">
        <v>0</v>
      </c>
      <c r="J67" s="135">
        <v>1475</v>
      </c>
      <c r="K67" s="135">
        <v>0</v>
      </c>
      <c r="L67" s="135">
        <v>0</v>
      </c>
      <c r="M67" s="135">
        <v>0</v>
      </c>
      <c r="N67" s="135">
        <v>0</v>
      </c>
    </row>
    <row r="68" spans="1:14" x14ac:dyDescent="0.2">
      <c r="A68" s="255" t="s">
        <v>631</v>
      </c>
      <c r="B68" s="135">
        <v>0</v>
      </c>
      <c r="C68" s="135">
        <v>0</v>
      </c>
      <c r="D68" s="135">
        <v>1000</v>
      </c>
      <c r="E68" s="135">
        <v>0</v>
      </c>
      <c r="F68" s="135">
        <v>10</v>
      </c>
      <c r="G68" s="135">
        <v>50</v>
      </c>
      <c r="H68" s="135">
        <v>0</v>
      </c>
      <c r="I68" s="135">
        <v>0</v>
      </c>
      <c r="J68" s="135">
        <v>550</v>
      </c>
      <c r="K68" s="135">
        <v>0</v>
      </c>
      <c r="L68" s="135">
        <v>0</v>
      </c>
      <c r="M68" s="135">
        <v>0</v>
      </c>
      <c r="N68" s="135">
        <v>0</v>
      </c>
    </row>
    <row r="69" spans="1:14" x14ac:dyDescent="0.2">
      <c r="A69" s="255" t="s">
        <v>98</v>
      </c>
      <c r="B69" s="135">
        <v>0</v>
      </c>
      <c r="C69" s="135">
        <v>0</v>
      </c>
      <c r="D69" s="135">
        <v>650</v>
      </c>
      <c r="E69" s="135">
        <v>650</v>
      </c>
      <c r="F69" s="135">
        <v>0</v>
      </c>
      <c r="G69" s="135">
        <v>0</v>
      </c>
      <c r="H69" s="135">
        <v>0</v>
      </c>
      <c r="I69" s="135">
        <v>0</v>
      </c>
      <c r="J69" s="135">
        <v>450</v>
      </c>
      <c r="K69" s="135">
        <v>0</v>
      </c>
      <c r="L69" s="135">
        <v>0</v>
      </c>
      <c r="M69" s="135">
        <v>0</v>
      </c>
      <c r="N69" s="135">
        <v>0</v>
      </c>
    </row>
    <row r="70" spans="1:14" x14ac:dyDescent="0.2">
      <c r="A70" s="255" t="s">
        <v>632</v>
      </c>
      <c r="B70" s="135">
        <v>0</v>
      </c>
      <c r="C70" s="135">
        <v>0</v>
      </c>
      <c r="D70" s="135">
        <v>650</v>
      </c>
      <c r="E70" s="135">
        <v>650</v>
      </c>
      <c r="F70" s="135">
        <v>6</v>
      </c>
      <c r="G70" s="135">
        <v>0</v>
      </c>
      <c r="H70" s="135">
        <v>0</v>
      </c>
      <c r="I70" s="135">
        <v>0</v>
      </c>
      <c r="J70" s="135">
        <v>400</v>
      </c>
      <c r="K70" s="135">
        <v>0</v>
      </c>
      <c r="L70" s="135">
        <v>0</v>
      </c>
      <c r="M70" s="135">
        <v>0</v>
      </c>
      <c r="N70" s="135">
        <v>0</v>
      </c>
    </row>
    <row r="71" spans="1:14" x14ac:dyDescent="0.2">
      <c r="A71" s="255" t="s">
        <v>633</v>
      </c>
      <c r="B71" s="135">
        <v>0</v>
      </c>
      <c r="C71" s="135">
        <v>0</v>
      </c>
      <c r="D71" s="135">
        <v>650</v>
      </c>
      <c r="E71" s="135">
        <v>650</v>
      </c>
      <c r="F71" s="135">
        <v>0</v>
      </c>
      <c r="G71" s="135">
        <v>0</v>
      </c>
      <c r="H71" s="135">
        <v>0</v>
      </c>
      <c r="I71" s="135">
        <v>0</v>
      </c>
      <c r="J71" s="135">
        <v>1475</v>
      </c>
      <c r="K71" s="135">
        <v>0</v>
      </c>
      <c r="L71" s="135">
        <v>0</v>
      </c>
      <c r="M71" s="135">
        <v>0</v>
      </c>
      <c r="N71" s="135">
        <v>0</v>
      </c>
    </row>
    <row r="72" spans="1:14" x14ac:dyDescent="0.2">
      <c r="A72" s="255" t="s">
        <v>100</v>
      </c>
      <c r="B72" s="135">
        <v>0</v>
      </c>
      <c r="C72" s="135">
        <v>0</v>
      </c>
      <c r="D72" s="135">
        <v>650</v>
      </c>
      <c r="E72" s="135">
        <v>650</v>
      </c>
      <c r="F72" s="135">
        <v>0</v>
      </c>
      <c r="G72" s="135">
        <v>0</v>
      </c>
      <c r="H72" s="135">
        <v>0</v>
      </c>
      <c r="I72" s="135">
        <v>0</v>
      </c>
      <c r="J72" s="135">
        <v>425</v>
      </c>
      <c r="K72" s="135">
        <v>0</v>
      </c>
      <c r="L72" s="135">
        <v>0</v>
      </c>
      <c r="M72" s="135">
        <v>0</v>
      </c>
      <c r="N72" s="135">
        <v>0</v>
      </c>
    </row>
    <row r="73" spans="1:14" x14ac:dyDescent="0.2">
      <c r="A73" s="255" t="s">
        <v>634</v>
      </c>
      <c r="B73" s="135">
        <v>0</v>
      </c>
      <c r="C73" s="135">
        <v>0</v>
      </c>
      <c r="D73" s="135">
        <v>1000</v>
      </c>
      <c r="E73" s="135">
        <v>0</v>
      </c>
      <c r="F73" s="135">
        <v>10</v>
      </c>
      <c r="G73" s="135">
        <v>100</v>
      </c>
      <c r="H73" s="135">
        <v>0</v>
      </c>
      <c r="I73" s="135">
        <v>0</v>
      </c>
      <c r="J73" s="135">
        <v>0</v>
      </c>
      <c r="K73" s="135">
        <v>0</v>
      </c>
      <c r="L73" s="135">
        <v>0</v>
      </c>
      <c r="M73" s="135">
        <v>0</v>
      </c>
      <c r="N73" s="135">
        <v>0</v>
      </c>
    </row>
    <row r="74" spans="1:14" x14ac:dyDescent="0.2">
      <c r="A74" s="255" t="s">
        <v>635</v>
      </c>
      <c r="B74" s="135">
        <v>0</v>
      </c>
      <c r="C74" s="135">
        <v>0</v>
      </c>
      <c r="D74" s="135">
        <v>650</v>
      </c>
      <c r="E74" s="135">
        <v>0</v>
      </c>
      <c r="F74" s="135">
        <v>6</v>
      </c>
      <c r="G74" s="135">
        <v>50</v>
      </c>
      <c r="H74" s="135">
        <v>0</v>
      </c>
      <c r="I74" s="135">
        <v>0</v>
      </c>
      <c r="J74" s="135">
        <v>0</v>
      </c>
      <c r="K74" s="135">
        <v>0</v>
      </c>
      <c r="L74" s="135">
        <v>0</v>
      </c>
      <c r="M74" s="135">
        <v>0</v>
      </c>
      <c r="N74" s="135">
        <v>0</v>
      </c>
    </row>
    <row r="75" spans="1:14" x14ac:dyDescent="0.2">
      <c r="A75" s="255" t="s">
        <v>636</v>
      </c>
      <c r="B75" s="135">
        <v>0</v>
      </c>
      <c r="C75" s="135">
        <v>0</v>
      </c>
      <c r="D75" s="135">
        <v>650</v>
      </c>
      <c r="E75" s="135">
        <v>0</v>
      </c>
      <c r="F75" s="135">
        <v>6</v>
      </c>
      <c r="G75" s="135">
        <v>50</v>
      </c>
      <c r="H75" s="135">
        <v>0</v>
      </c>
      <c r="I75" s="135">
        <v>0</v>
      </c>
      <c r="J75" s="135">
        <v>0</v>
      </c>
      <c r="K75" s="135">
        <v>0</v>
      </c>
      <c r="L75" s="135">
        <v>0</v>
      </c>
      <c r="M75" s="135">
        <v>0</v>
      </c>
      <c r="N75" s="135">
        <v>0</v>
      </c>
    </row>
    <row r="76" spans="1:14" x14ac:dyDescent="0.2">
      <c r="A76" s="255" t="s">
        <v>99</v>
      </c>
      <c r="B76" s="135">
        <v>0</v>
      </c>
      <c r="C76" s="135">
        <v>0</v>
      </c>
      <c r="D76" s="135">
        <v>1000</v>
      </c>
      <c r="E76" s="135">
        <v>0</v>
      </c>
      <c r="F76" s="135">
        <v>0</v>
      </c>
      <c r="G76" s="135">
        <v>130</v>
      </c>
      <c r="H76" s="135">
        <v>0</v>
      </c>
      <c r="I76" s="135">
        <v>0</v>
      </c>
      <c r="J76" s="135">
        <v>0</v>
      </c>
      <c r="K76" s="135">
        <v>0</v>
      </c>
      <c r="L76" s="135">
        <v>0</v>
      </c>
      <c r="M76" s="135">
        <v>0</v>
      </c>
      <c r="N76" s="135">
        <v>0</v>
      </c>
    </row>
    <row r="77" spans="1:14" x14ac:dyDescent="0.2">
      <c r="A77" s="255" t="s">
        <v>101</v>
      </c>
      <c r="B77" s="135">
        <v>0</v>
      </c>
      <c r="C77" s="135">
        <v>0</v>
      </c>
      <c r="D77" s="135">
        <v>1000</v>
      </c>
      <c r="E77" s="135">
        <v>1000</v>
      </c>
      <c r="F77" s="135">
        <v>10</v>
      </c>
      <c r="G77" s="135">
        <v>0</v>
      </c>
      <c r="H77" s="135">
        <v>0</v>
      </c>
      <c r="I77" s="135">
        <v>0</v>
      </c>
      <c r="J77" s="135">
        <v>0</v>
      </c>
      <c r="K77" s="135">
        <v>0</v>
      </c>
      <c r="L77" s="135">
        <v>0</v>
      </c>
      <c r="M77" s="135">
        <v>0</v>
      </c>
      <c r="N77" s="135">
        <v>0</v>
      </c>
    </row>
    <row r="78" spans="1:14" x14ac:dyDescent="0.2">
      <c r="A78" s="255" t="s">
        <v>637</v>
      </c>
      <c r="B78" s="135">
        <v>0</v>
      </c>
      <c r="C78" s="135">
        <v>0</v>
      </c>
      <c r="D78" s="135">
        <v>1400</v>
      </c>
      <c r="E78" s="135">
        <v>0</v>
      </c>
      <c r="F78" s="135">
        <v>0</v>
      </c>
      <c r="G78" s="135">
        <v>0</v>
      </c>
      <c r="H78" s="135">
        <v>0</v>
      </c>
      <c r="I78" s="135">
        <v>23</v>
      </c>
      <c r="J78" s="135">
        <v>0</v>
      </c>
      <c r="K78" s="135">
        <v>0</v>
      </c>
      <c r="L78" s="135">
        <v>0</v>
      </c>
      <c r="M78" s="135">
        <v>0</v>
      </c>
      <c r="N78" s="135">
        <v>0</v>
      </c>
    </row>
    <row r="79" spans="1:14" x14ac:dyDescent="0.2">
      <c r="A79" s="255" t="s">
        <v>88</v>
      </c>
      <c r="B79" s="135">
        <v>0</v>
      </c>
      <c r="C79" s="135">
        <v>0</v>
      </c>
      <c r="D79" s="135">
        <v>750</v>
      </c>
      <c r="E79" s="135">
        <v>0</v>
      </c>
      <c r="F79" s="135">
        <v>5</v>
      </c>
      <c r="G79" s="135">
        <v>50</v>
      </c>
      <c r="H79" s="135">
        <v>10</v>
      </c>
      <c r="I79" s="135">
        <v>25</v>
      </c>
      <c r="J79" s="135">
        <v>25</v>
      </c>
      <c r="K79" s="135">
        <v>250</v>
      </c>
      <c r="L79" s="135">
        <v>0</v>
      </c>
      <c r="M79" s="135">
        <v>0</v>
      </c>
      <c r="N79" s="135">
        <v>0</v>
      </c>
    </row>
    <row r="80" spans="1:14" x14ac:dyDescent="0.2">
      <c r="A80" s="257" t="s">
        <v>638</v>
      </c>
      <c r="B80" s="258">
        <f>SUM(B65:B79)+(8+(B4-1)*1)</f>
        <v>77</v>
      </c>
      <c r="C80" s="258">
        <f>SUM(C65:C79)+(8+(B4-1)*1)</f>
        <v>77</v>
      </c>
      <c r="D80" s="258">
        <f>SUM(D65:D79)+(10+(B4-1)*3)</f>
        <v>12567</v>
      </c>
      <c r="E80" s="258">
        <f>SUM(E65:E79)+(9+(B4-1)*2)</f>
        <v>5047</v>
      </c>
      <c r="F80" s="258">
        <f>SUM(F65:F79)+5</f>
        <v>64</v>
      </c>
      <c r="G80" s="258">
        <f>SUM(G65:G79)+50</f>
        <v>480</v>
      </c>
      <c r="H80" s="258">
        <f>SUM(H65:H79)</f>
        <v>10</v>
      </c>
      <c r="I80" s="258">
        <f>SUM(I65:I79)</f>
        <v>48</v>
      </c>
      <c r="J80" s="258">
        <f>(SUM(J65:J78)+(B80+C80)/10)*(1+J79/100)</f>
        <v>7613</v>
      </c>
      <c r="K80" s="258">
        <f>SUM(K65:K79)+D80/10</f>
        <v>1506.7</v>
      </c>
      <c r="L80" s="258">
        <f>(1-(1-L65/100)*(1-L66/100)*(1-L67/100)*(1-L68/100)*(1-L69/100)*(1-L70/100)*(1-L71/100)*(1-L72/100)*(1-L73/100)*(1-L74/100)*(1-L75/100)*(1-L76/100)*(1-L77/100)*(1-L78/100)*(1-L79/100))*100</f>
        <v>0</v>
      </c>
      <c r="M80" s="258">
        <f>(1-(1-M65/100)*(1-M66/100)*(1-M67/100)*(1-M68/100)*(1-M69/100)*(1-M70/100)*(1-M71/100)*(1-M72/100)*(1-M73/100)*(1-M74/100)*(1-M75/100)*(1-M76/100)*(1-M77/100)*(1-M78/100)*(1-M79/100))*100</f>
        <v>0</v>
      </c>
      <c r="N80" s="258">
        <f>(1-(1-N65/100)*(1-N66/100)*(1-N67/100)*(1-N68/100)*(1-N69/100)*(1-N70/100)*(1-N71/100)*(1-N72/100)*(1-N73/100)*(1-N74/100)*(1-N75/100)*(1-N76/100)*(1-N77/100)*(1-N78/100)*(1-N79/100))*100</f>
        <v>0</v>
      </c>
    </row>
  </sheetData>
  <mergeCells count="19">
    <mergeCell ref="A47:J47"/>
    <mergeCell ref="C48:F48"/>
    <mergeCell ref="G48:J48"/>
    <mergeCell ref="A3:B3"/>
    <mergeCell ref="A63:N63"/>
    <mergeCell ref="G27:I27"/>
    <mergeCell ref="L27:N27"/>
    <mergeCell ref="L29:M29"/>
    <mergeCell ref="L30:M30"/>
    <mergeCell ref="L31:M31"/>
    <mergeCell ref="G33:S33"/>
    <mergeCell ref="L48:P48"/>
    <mergeCell ref="A38:C38"/>
    <mergeCell ref="A42:F42"/>
    <mergeCell ref="G2:K2"/>
    <mergeCell ref="L2:P2"/>
    <mergeCell ref="G3:H3"/>
    <mergeCell ref="L3:M3"/>
    <mergeCell ref="L28:M28"/>
  </mergeCells>
  <conditionalFormatting sqref="D23:D30 D32:D36">
    <cfRule type="cellIs" dxfId="21" priority="7" operator="greaterThan">
      <formula>0</formula>
    </cfRule>
    <cfRule type="cellIs" dxfId="20" priority="8" operator="lessThan">
      <formula>0</formula>
    </cfRule>
  </conditionalFormatting>
  <conditionalFormatting sqref="D4:E12 E18:E36 D18:D22">
    <cfRule type="cellIs" dxfId="19" priority="5" operator="greaterThan">
      <formula>0</formula>
    </cfRule>
    <cfRule type="cellIs" dxfId="18" priority="6" operator="lessThan">
      <formula>0</formula>
    </cfRule>
  </conditionalFormatting>
  <conditionalFormatting sqref="O50:O52">
    <cfRule type="top10" dxfId="17" priority="4" rank="1"/>
  </conditionalFormatting>
  <conditionalFormatting sqref="P50:P52">
    <cfRule type="top10" dxfId="16" priority="3" rank="1"/>
  </conditionalFormatting>
  <conditionalFormatting sqref="D13:E17">
    <cfRule type="cellIs" dxfId="15" priority="1" operator="greaterThan">
      <formula>0</formula>
    </cfRule>
    <cfRule type="cellIs" dxfId="14" priority="2"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5"/>
  <sheetViews>
    <sheetView workbookViewId="0"/>
  </sheetViews>
  <sheetFormatPr defaultRowHeight="15" x14ac:dyDescent="0.25"/>
  <cols>
    <col min="1" max="1" width="14.5703125" customWidth="1"/>
    <col min="2" max="2" width="11.7109375" bestFit="1" customWidth="1"/>
    <col min="3" max="3" width="11.7109375" customWidth="1"/>
    <col min="5" max="5" width="9.5703125" bestFit="1" customWidth="1"/>
    <col min="6" max="6" width="10.42578125" bestFit="1" customWidth="1"/>
    <col min="12" max="12" width="9.5703125" bestFit="1" customWidth="1"/>
  </cols>
  <sheetData>
    <row r="2" spans="1:13" x14ac:dyDescent="0.25">
      <c r="A2" s="302" t="s">
        <v>81</v>
      </c>
      <c r="B2" s="302"/>
      <c r="C2" s="302"/>
      <c r="D2" s="302"/>
      <c r="E2" s="302"/>
      <c r="F2" s="302"/>
      <c r="H2" s="302" t="s">
        <v>105</v>
      </c>
      <c r="I2" s="302"/>
      <c r="J2" s="302"/>
      <c r="K2" s="302"/>
      <c r="L2" s="302"/>
      <c r="M2" s="302"/>
    </row>
    <row r="3" spans="1:13" x14ac:dyDescent="0.25">
      <c r="B3" s="303" t="s">
        <v>82</v>
      </c>
      <c r="C3" s="303"/>
      <c r="F3" s="1" t="s">
        <v>83</v>
      </c>
      <c r="I3" s="302" t="s">
        <v>82</v>
      </c>
      <c r="J3" s="302"/>
      <c r="M3" s="1" t="s">
        <v>83</v>
      </c>
    </row>
    <row r="4" spans="1:13" x14ac:dyDescent="0.25">
      <c r="B4" s="1" t="s">
        <v>84</v>
      </c>
      <c r="C4" s="1" t="s">
        <v>85</v>
      </c>
      <c r="D4" s="22" t="s">
        <v>86</v>
      </c>
      <c r="E4" s="1" t="s">
        <v>87</v>
      </c>
      <c r="F4">
        <v>100</v>
      </c>
      <c r="I4" s="1" t="s">
        <v>84</v>
      </c>
      <c r="J4" s="1" t="s">
        <v>85</v>
      </c>
      <c r="K4" s="22" t="s">
        <v>86</v>
      </c>
      <c r="L4" s="1" t="s">
        <v>87</v>
      </c>
      <c r="M4">
        <v>100</v>
      </c>
    </row>
    <row r="5" spans="1:13" x14ac:dyDescent="0.25">
      <c r="A5" t="s">
        <v>88</v>
      </c>
      <c r="B5">
        <v>10</v>
      </c>
      <c r="C5">
        <v>10</v>
      </c>
      <c r="D5" s="144">
        <v>10</v>
      </c>
      <c r="E5">
        <f t="shared" ref="E5:E18" si="0">(100-D5)/100</f>
        <v>0.9</v>
      </c>
      <c r="F5">
        <f>F4*E5</f>
        <v>90</v>
      </c>
      <c r="H5" s="9" t="s">
        <v>372</v>
      </c>
      <c r="I5" s="39"/>
      <c r="J5" s="39"/>
      <c r="K5" s="218">
        <v>0</v>
      </c>
      <c r="L5" s="9">
        <f>(100-K5)/100</f>
        <v>1</v>
      </c>
      <c r="M5" s="9">
        <f>M4*L5</f>
        <v>100</v>
      </c>
    </row>
    <row r="6" spans="1:13" x14ac:dyDescent="0.25">
      <c r="A6" t="s">
        <v>89</v>
      </c>
      <c r="B6">
        <v>12.5</v>
      </c>
      <c r="C6">
        <v>12.5</v>
      </c>
      <c r="D6" s="144">
        <v>0</v>
      </c>
      <c r="E6">
        <f>(100-D6*(1+C21/100))/100</f>
        <v>1</v>
      </c>
      <c r="F6">
        <f t="shared" ref="F6:F19" si="1">F5*E6</f>
        <v>90</v>
      </c>
      <c r="H6" t="s">
        <v>88</v>
      </c>
      <c r="I6">
        <v>10</v>
      </c>
      <c r="J6">
        <v>10</v>
      </c>
      <c r="K6" s="144">
        <v>10</v>
      </c>
      <c r="L6">
        <f>(100-K6)/100</f>
        <v>0.9</v>
      </c>
      <c r="M6">
        <f>M5*L6</f>
        <v>90</v>
      </c>
    </row>
    <row r="7" spans="1:13" x14ac:dyDescent="0.25">
      <c r="A7" t="s">
        <v>90</v>
      </c>
      <c r="B7">
        <v>0</v>
      </c>
      <c r="C7">
        <v>0</v>
      </c>
      <c r="D7" s="144"/>
      <c r="E7">
        <f t="shared" si="0"/>
        <v>1</v>
      </c>
      <c r="F7">
        <f>F6*E7</f>
        <v>90</v>
      </c>
      <c r="H7" t="s">
        <v>90</v>
      </c>
      <c r="I7">
        <v>0</v>
      </c>
      <c r="J7">
        <v>0</v>
      </c>
      <c r="K7" s="144"/>
      <c r="L7">
        <f t="shared" ref="L7:L18" si="2">(100-K7)/100</f>
        <v>1</v>
      </c>
      <c r="M7">
        <f t="shared" ref="M7:M8" si="3">M6*L7</f>
        <v>90</v>
      </c>
    </row>
    <row r="8" spans="1:13" x14ac:dyDescent="0.25">
      <c r="A8" t="s">
        <v>91</v>
      </c>
      <c r="B8">
        <v>8</v>
      </c>
      <c r="C8">
        <v>7</v>
      </c>
      <c r="D8" s="144">
        <v>0</v>
      </c>
      <c r="E8">
        <f t="shared" si="0"/>
        <v>1</v>
      </c>
      <c r="F8">
        <f t="shared" si="1"/>
        <v>90</v>
      </c>
      <c r="H8" t="s">
        <v>91</v>
      </c>
      <c r="I8">
        <v>8</v>
      </c>
      <c r="J8">
        <v>7</v>
      </c>
      <c r="K8" s="144">
        <v>0</v>
      </c>
      <c r="L8">
        <f t="shared" si="2"/>
        <v>1</v>
      </c>
      <c r="M8">
        <f t="shared" si="3"/>
        <v>90</v>
      </c>
    </row>
    <row r="9" spans="1:13" x14ac:dyDescent="0.25">
      <c r="A9" t="s">
        <v>92</v>
      </c>
      <c r="B9">
        <v>8</v>
      </c>
      <c r="C9">
        <v>7</v>
      </c>
      <c r="D9" s="144">
        <v>0</v>
      </c>
      <c r="E9">
        <f t="shared" si="0"/>
        <v>1</v>
      </c>
      <c r="F9">
        <f t="shared" si="1"/>
        <v>90</v>
      </c>
      <c r="H9" t="s">
        <v>92</v>
      </c>
      <c r="I9">
        <v>8</v>
      </c>
      <c r="J9">
        <v>7</v>
      </c>
      <c r="K9" s="144">
        <v>0</v>
      </c>
      <c r="L9">
        <f t="shared" si="2"/>
        <v>1</v>
      </c>
      <c r="M9">
        <f>M8*L9</f>
        <v>90</v>
      </c>
    </row>
    <row r="10" spans="1:13" x14ac:dyDescent="0.25">
      <c r="A10" t="s">
        <v>93</v>
      </c>
      <c r="B10">
        <v>8</v>
      </c>
      <c r="C10">
        <v>7</v>
      </c>
      <c r="D10" s="144">
        <v>0</v>
      </c>
      <c r="E10">
        <f t="shared" si="0"/>
        <v>1</v>
      </c>
      <c r="F10">
        <f t="shared" si="1"/>
        <v>90</v>
      </c>
      <c r="H10" t="s">
        <v>93</v>
      </c>
      <c r="I10">
        <v>8</v>
      </c>
      <c r="J10">
        <v>7</v>
      </c>
      <c r="K10" s="144">
        <v>0</v>
      </c>
      <c r="L10">
        <f t="shared" si="2"/>
        <v>1</v>
      </c>
      <c r="M10">
        <f t="shared" ref="M10:M19" si="4">M9*L10</f>
        <v>90</v>
      </c>
    </row>
    <row r="11" spans="1:13" x14ac:dyDescent="0.25">
      <c r="A11" t="s">
        <v>94</v>
      </c>
      <c r="B11">
        <v>0</v>
      </c>
      <c r="C11">
        <v>0</v>
      </c>
      <c r="D11" s="144"/>
      <c r="E11">
        <f t="shared" si="0"/>
        <v>1</v>
      </c>
      <c r="F11">
        <f t="shared" si="1"/>
        <v>90</v>
      </c>
      <c r="H11" t="s">
        <v>94</v>
      </c>
      <c r="I11">
        <v>0</v>
      </c>
      <c r="J11">
        <v>0</v>
      </c>
      <c r="K11" s="144"/>
      <c r="L11">
        <f t="shared" si="2"/>
        <v>1</v>
      </c>
      <c r="M11">
        <f t="shared" si="4"/>
        <v>90</v>
      </c>
    </row>
    <row r="12" spans="1:13" x14ac:dyDescent="0.25">
      <c r="A12" t="s">
        <v>95</v>
      </c>
      <c r="B12">
        <v>0</v>
      </c>
      <c r="C12">
        <v>0</v>
      </c>
      <c r="D12" s="144"/>
      <c r="E12">
        <f t="shared" si="0"/>
        <v>1</v>
      </c>
      <c r="F12">
        <f t="shared" si="1"/>
        <v>90</v>
      </c>
      <c r="H12" t="s">
        <v>95</v>
      </c>
      <c r="I12">
        <v>0</v>
      </c>
      <c r="J12">
        <v>0</v>
      </c>
      <c r="K12" s="144"/>
      <c r="L12">
        <f t="shared" si="2"/>
        <v>1</v>
      </c>
      <c r="M12">
        <f t="shared" si="4"/>
        <v>90</v>
      </c>
    </row>
    <row r="13" spans="1:13" x14ac:dyDescent="0.25">
      <c r="A13" t="s">
        <v>96</v>
      </c>
      <c r="B13">
        <v>8</v>
      </c>
      <c r="C13">
        <v>6</v>
      </c>
      <c r="D13" s="144">
        <v>0</v>
      </c>
      <c r="E13">
        <f t="shared" si="0"/>
        <v>1</v>
      </c>
      <c r="F13">
        <f t="shared" si="1"/>
        <v>90</v>
      </c>
      <c r="H13" t="s">
        <v>96</v>
      </c>
      <c r="I13">
        <v>8</v>
      </c>
      <c r="J13">
        <v>7</v>
      </c>
      <c r="K13" s="144">
        <v>0</v>
      </c>
      <c r="L13">
        <f t="shared" si="2"/>
        <v>1</v>
      </c>
      <c r="M13">
        <f t="shared" si="4"/>
        <v>90</v>
      </c>
    </row>
    <row r="14" spans="1:13" x14ac:dyDescent="0.25">
      <c r="A14" t="s">
        <v>97</v>
      </c>
      <c r="B14">
        <v>8</v>
      </c>
      <c r="C14">
        <v>6</v>
      </c>
      <c r="D14" s="144">
        <v>0</v>
      </c>
      <c r="E14">
        <f t="shared" si="0"/>
        <v>1</v>
      </c>
      <c r="F14">
        <f t="shared" si="1"/>
        <v>90</v>
      </c>
      <c r="H14" t="s">
        <v>97</v>
      </c>
      <c r="I14">
        <v>8</v>
      </c>
      <c r="J14">
        <v>7</v>
      </c>
      <c r="K14" s="144">
        <v>0</v>
      </c>
      <c r="L14">
        <f t="shared" si="2"/>
        <v>1</v>
      </c>
      <c r="M14">
        <f t="shared" si="4"/>
        <v>90</v>
      </c>
    </row>
    <row r="15" spans="1:13" x14ac:dyDescent="0.25">
      <c r="A15" t="s">
        <v>98</v>
      </c>
      <c r="B15">
        <v>8</v>
      </c>
      <c r="C15">
        <v>0</v>
      </c>
      <c r="D15" s="144">
        <v>0</v>
      </c>
      <c r="E15">
        <f t="shared" si="0"/>
        <v>1</v>
      </c>
      <c r="F15">
        <f t="shared" si="1"/>
        <v>90</v>
      </c>
      <c r="H15" t="s">
        <v>98</v>
      </c>
      <c r="I15">
        <v>8</v>
      </c>
      <c r="J15">
        <v>0</v>
      </c>
      <c r="K15" s="144">
        <v>0</v>
      </c>
      <c r="L15">
        <f t="shared" si="2"/>
        <v>1</v>
      </c>
      <c r="M15">
        <f t="shared" si="4"/>
        <v>90</v>
      </c>
    </row>
    <row r="16" spans="1:13" x14ac:dyDescent="0.25">
      <c r="A16" t="s">
        <v>99</v>
      </c>
      <c r="B16">
        <v>10</v>
      </c>
      <c r="C16">
        <v>9</v>
      </c>
      <c r="D16" s="144">
        <v>0</v>
      </c>
      <c r="E16">
        <f t="shared" si="0"/>
        <v>1</v>
      </c>
      <c r="F16">
        <f t="shared" si="1"/>
        <v>90</v>
      </c>
      <c r="H16" t="s">
        <v>99</v>
      </c>
      <c r="I16">
        <v>10</v>
      </c>
      <c r="J16">
        <v>9</v>
      </c>
      <c r="K16" s="144">
        <v>0</v>
      </c>
      <c r="L16">
        <f t="shared" si="2"/>
        <v>1</v>
      </c>
      <c r="M16">
        <f t="shared" si="4"/>
        <v>90</v>
      </c>
    </row>
    <row r="17" spans="1:13" x14ac:dyDescent="0.25">
      <c r="A17" t="s">
        <v>100</v>
      </c>
      <c r="B17">
        <v>0</v>
      </c>
      <c r="C17">
        <v>0</v>
      </c>
      <c r="D17" s="144"/>
      <c r="E17">
        <f t="shared" si="0"/>
        <v>1</v>
      </c>
      <c r="F17">
        <f t="shared" si="1"/>
        <v>90</v>
      </c>
      <c r="H17" t="s">
        <v>100</v>
      </c>
      <c r="I17">
        <v>0</v>
      </c>
      <c r="J17">
        <v>0</v>
      </c>
      <c r="K17" s="144"/>
      <c r="L17">
        <f t="shared" si="2"/>
        <v>1</v>
      </c>
      <c r="M17">
        <f t="shared" si="4"/>
        <v>90</v>
      </c>
    </row>
    <row r="18" spans="1:13" x14ac:dyDescent="0.25">
      <c r="A18" t="s">
        <v>101</v>
      </c>
      <c r="B18">
        <v>8</v>
      </c>
      <c r="C18">
        <v>7</v>
      </c>
      <c r="D18" s="144"/>
      <c r="E18">
        <f t="shared" si="0"/>
        <v>1</v>
      </c>
      <c r="F18">
        <f t="shared" si="1"/>
        <v>90</v>
      </c>
      <c r="H18" t="s">
        <v>101</v>
      </c>
      <c r="I18">
        <v>8</v>
      </c>
      <c r="J18">
        <v>7</v>
      </c>
      <c r="K18" s="144">
        <v>0</v>
      </c>
      <c r="L18">
        <f t="shared" si="2"/>
        <v>1</v>
      </c>
      <c r="M18">
        <f t="shared" si="4"/>
        <v>90</v>
      </c>
    </row>
    <row r="19" spans="1:13" s="81" customFormat="1" x14ac:dyDescent="0.25">
      <c r="A19" s="81" t="s">
        <v>534</v>
      </c>
      <c r="D19" s="144">
        <v>0</v>
      </c>
      <c r="E19" s="81">
        <f t="shared" ref="E19" si="5">(100-D19)/100</f>
        <v>1</v>
      </c>
      <c r="F19" s="81">
        <f t="shared" si="1"/>
        <v>90</v>
      </c>
      <c r="H19" s="81" t="s">
        <v>534</v>
      </c>
      <c r="K19" s="144">
        <v>0</v>
      </c>
      <c r="L19" s="81">
        <f t="shared" ref="L19" si="6">(100-K19)/100</f>
        <v>1</v>
      </c>
      <c r="M19" s="81">
        <f t="shared" si="4"/>
        <v>90</v>
      </c>
    </row>
    <row r="20" spans="1:13" s="43" customFormat="1" x14ac:dyDescent="0.25">
      <c r="A20" s="43" t="s">
        <v>533</v>
      </c>
      <c r="D20" s="144">
        <v>0</v>
      </c>
      <c r="E20" s="43">
        <f t="shared" ref="E20" si="7">(100-D20)/100</f>
        <v>1</v>
      </c>
      <c r="F20" s="43">
        <f t="shared" ref="F20" si="8">F18*E20</f>
        <v>90</v>
      </c>
      <c r="H20" s="43" t="s">
        <v>533</v>
      </c>
      <c r="K20" s="144">
        <v>0</v>
      </c>
      <c r="L20" s="43">
        <f t="shared" ref="L20" si="9">(100-K20)/100</f>
        <v>1</v>
      </c>
      <c r="M20" s="43">
        <f t="shared" ref="M20" si="10">M18*L20</f>
        <v>90</v>
      </c>
    </row>
    <row r="21" spans="1:13" x14ac:dyDescent="0.25">
      <c r="A21" s="304" t="s">
        <v>565</v>
      </c>
      <c r="B21" s="304"/>
      <c r="C21" s="144">
        <v>0</v>
      </c>
      <c r="D21" s="5" t="s">
        <v>102</v>
      </c>
      <c r="E21" s="141">
        <f>(1-PRODUCT(E5:E20))*100</f>
        <v>9.9999999999999982</v>
      </c>
      <c r="H21" s="5"/>
      <c r="I21" s="23"/>
      <c r="J21" s="5"/>
      <c r="K21" s="5" t="s">
        <v>102</v>
      </c>
      <c r="L21" s="141">
        <f>(1-PRODUCT(L3:L20))*100</f>
        <v>9.9999999999999982</v>
      </c>
    </row>
    <row r="22" spans="1:13" s="81" customFormat="1" x14ac:dyDescent="0.25">
      <c r="A22" s="5"/>
      <c r="B22" s="23"/>
      <c r="D22" s="5"/>
      <c r="E22" s="140"/>
      <c r="H22" s="5"/>
      <c r="I22" s="23"/>
      <c r="J22" s="5"/>
      <c r="K22" s="5"/>
      <c r="L22" s="140"/>
    </row>
    <row r="23" spans="1:13" x14ac:dyDescent="0.25">
      <c r="A23" s="304" t="s">
        <v>589</v>
      </c>
      <c r="B23" s="304"/>
      <c r="C23" s="144">
        <v>0</v>
      </c>
      <c r="D23" s="233"/>
      <c r="H23" s="304" t="s">
        <v>570</v>
      </c>
      <c r="I23" s="304"/>
      <c r="J23" s="144">
        <v>0</v>
      </c>
      <c r="K23" s="304" t="s">
        <v>571</v>
      </c>
      <c r="L23" s="304"/>
      <c r="M23" s="27">
        <f>100-(M20*(1-J23/100))</f>
        <v>10</v>
      </c>
    </row>
    <row r="24" spans="1:13" x14ac:dyDescent="0.25">
      <c r="A24" s="304" t="s">
        <v>566</v>
      </c>
      <c r="B24" s="304"/>
      <c r="C24" s="144">
        <v>0</v>
      </c>
    </row>
    <row r="25" spans="1:13" x14ac:dyDescent="0.25">
      <c r="A25" s="304" t="s">
        <v>567</v>
      </c>
      <c r="B25" s="304"/>
      <c r="C25" s="144">
        <v>0.5</v>
      </c>
      <c r="D25" s="241" t="s">
        <v>568</v>
      </c>
    </row>
    <row r="26" spans="1:13" s="233" customFormat="1" x14ac:dyDescent="0.25"/>
    <row r="27" spans="1:13" x14ac:dyDescent="0.25">
      <c r="A27" s="305" t="s">
        <v>569</v>
      </c>
      <c r="B27" s="305"/>
      <c r="C27" s="305"/>
      <c r="D27" s="305"/>
      <c r="E27" s="305"/>
      <c r="F27" s="305"/>
      <c r="G27" s="305"/>
      <c r="H27" s="305"/>
      <c r="I27" s="305"/>
      <c r="J27" s="305"/>
      <c r="K27" s="242" t="s">
        <v>383</v>
      </c>
    </row>
    <row r="28" spans="1:13" x14ac:dyDescent="0.25">
      <c r="A28" s="24" t="s">
        <v>103</v>
      </c>
      <c r="B28" s="25">
        <v>120</v>
      </c>
      <c r="C28" s="25">
        <v>90</v>
      </c>
      <c r="D28" s="25">
        <v>60</v>
      </c>
      <c r="E28" s="25">
        <v>45</v>
      </c>
      <c r="F28" s="25">
        <v>30</v>
      </c>
      <c r="G28" s="25">
        <v>15</v>
      </c>
      <c r="H28" s="25">
        <v>12</v>
      </c>
      <c r="I28" s="25">
        <v>8</v>
      </c>
      <c r="J28" s="25">
        <v>6</v>
      </c>
      <c r="K28" s="243">
        <v>10</v>
      </c>
    </row>
    <row r="29" spans="1:13" x14ac:dyDescent="0.25">
      <c r="A29" s="26" t="s">
        <v>104</v>
      </c>
      <c r="B29" s="27">
        <f t="shared" ref="B29:K29" si="11">IF(IF(CDRORotZ&gt;0,(-(RedCDR-100)*B28)/(100*(CDRGI+CDRORotZ+1)),B28*(1-RedCDR/100))&lt;$C$25,$C$25,IF(CDRGI+CDRORotZ&gt;0,(-(RedCDR-100)*B28)/(100*(CDRGI+CDRORotZ+1)),B28*(1-RedCDR/100)))</f>
        <v>108</v>
      </c>
      <c r="C29" s="27">
        <f t="shared" si="11"/>
        <v>81</v>
      </c>
      <c r="D29" s="27">
        <f t="shared" si="11"/>
        <v>54</v>
      </c>
      <c r="E29" s="27">
        <f t="shared" si="11"/>
        <v>40.5</v>
      </c>
      <c r="F29" s="27">
        <f t="shared" si="11"/>
        <v>27</v>
      </c>
      <c r="G29" s="27">
        <f t="shared" si="11"/>
        <v>13.5</v>
      </c>
      <c r="H29" s="27">
        <f t="shared" si="11"/>
        <v>10.8</v>
      </c>
      <c r="I29" s="27">
        <f t="shared" si="11"/>
        <v>7.2</v>
      </c>
      <c r="J29" s="27">
        <f t="shared" si="11"/>
        <v>5.4</v>
      </c>
      <c r="K29" s="27">
        <f t="shared" si="11"/>
        <v>9</v>
      </c>
    </row>
    <row r="31" spans="1:13" s="9" customFormat="1" x14ac:dyDescent="0.25"/>
    <row r="45" s="43" customFormat="1" x14ac:dyDescent="0.25"/>
  </sheetData>
  <mergeCells count="11">
    <mergeCell ref="A24:B24"/>
    <mergeCell ref="A25:B25"/>
    <mergeCell ref="A27:J27"/>
    <mergeCell ref="H23:I23"/>
    <mergeCell ref="K23:L23"/>
    <mergeCell ref="A23:B23"/>
    <mergeCell ref="A2:F2"/>
    <mergeCell ref="B3:C3"/>
    <mergeCell ref="H2:M2"/>
    <mergeCell ref="I3:J3"/>
    <mergeCell ref="A21:B2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09"/>
  <sheetViews>
    <sheetView workbookViewId="0">
      <pane ySplit="7" topLeftCell="A8" activePane="bottomLeft" state="frozen"/>
      <selection activeCell="J8" sqref="J8"/>
      <selection pane="bottomLeft"/>
    </sheetView>
  </sheetViews>
  <sheetFormatPr defaultRowHeight="15" x14ac:dyDescent="0.25"/>
  <cols>
    <col min="1" max="1" width="13.7109375" bestFit="1" customWidth="1"/>
    <col min="3" max="3" width="14" bestFit="1" customWidth="1"/>
    <col min="5" max="5" width="12.42578125" bestFit="1" customWidth="1"/>
    <col min="6" max="6" width="10.7109375" bestFit="1" customWidth="1"/>
    <col min="7" max="7" width="9.85546875" bestFit="1" customWidth="1"/>
    <col min="8" max="8" width="10.28515625" customWidth="1"/>
    <col min="9" max="9" width="10.140625" bestFit="1" customWidth="1"/>
    <col min="10" max="10" width="14.85546875" bestFit="1" customWidth="1"/>
    <col min="12" max="12" width="11.5703125" customWidth="1"/>
  </cols>
  <sheetData>
    <row r="1" spans="1:11" x14ac:dyDescent="0.25">
      <c r="A1" s="37"/>
      <c r="B1" s="38"/>
      <c r="C1" s="3"/>
      <c r="F1" s="310" t="s">
        <v>387</v>
      </c>
      <c r="G1" s="310"/>
      <c r="H1" s="71" t="b">
        <v>0</v>
      </c>
    </row>
    <row r="2" spans="1:11" x14ac:dyDescent="0.25">
      <c r="A2" s="2" t="s">
        <v>24</v>
      </c>
      <c r="B2" s="4">
        <f>APS</f>
        <v>1.54</v>
      </c>
      <c r="C2" s="15" t="s">
        <v>129</v>
      </c>
      <c r="D2" s="142">
        <f>RedRCR</f>
        <v>9.9999999999999982</v>
      </c>
      <c r="E2" s="28"/>
      <c r="F2" s="310" t="s">
        <v>384</v>
      </c>
      <c r="G2" s="310"/>
      <c r="H2" s="3">
        <f>CDRGI</f>
        <v>0</v>
      </c>
      <c r="J2" s="54" t="s">
        <v>407</v>
      </c>
      <c r="K2" s="70" t="b">
        <v>0</v>
      </c>
    </row>
    <row r="3" spans="1:11" x14ac:dyDescent="0.25">
      <c r="A3" s="2" t="s">
        <v>145</v>
      </c>
      <c r="B3" s="143">
        <v>60</v>
      </c>
      <c r="C3" s="15" t="s">
        <v>373</v>
      </c>
      <c r="D3" s="144">
        <v>750</v>
      </c>
      <c r="F3" s="309" t="s">
        <v>385</v>
      </c>
      <c r="G3" s="309"/>
      <c r="H3" s="145">
        <v>0</v>
      </c>
      <c r="J3" s="54" t="s">
        <v>439</v>
      </c>
      <c r="K3" s="70" t="b">
        <v>0</v>
      </c>
    </row>
    <row r="4" spans="1:11" x14ac:dyDescent="0.25">
      <c r="A4" s="2" t="s">
        <v>130</v>
      </c>
      <c r="B4" s="143">
        <v>1000</v>
      </c>
      <c r="C4" s="15" t="s">
        <v>131</v>
      </c>
      <c r="D4" s="3">
        <f>RedCDR</f>
        <v>9.9999999999999982</v>
      </c>
      <c r="F4" s="296" t="s">
        <v>640</v>
      </c>
      <c r="G4" s="296"/>
      <c r="H4" s="146">
        <v>0</v>
      </c>
      <c r="J4" s="54" t="s">
        <v>413</v>
      </c>
      <c r="K4" s="70" t="b">
        <v>0</v>
      </c>
    </row>
    <row r="5" spans="1:11" s="75" customFormat="1" x14ac:dyDescent="0.25">
      <c r="A5" s="78"/>
      <c r="B5" s="77"/>
      <c r="C5" s="76"/>
      <c r="D5" s="3"/>
      <c r="F5" s="311" t="s">
        <v>386</v>
      </c>
      <c r="G5" s="311"/>
      <c r="H5">
        <f>B3+(D3*0.01*H2)+(D3*0.1*H3)+(H4*10)</f>
        <v>60</v>
      </c>
      <c r="J5" s="78"/>
      <c r="K5" s="70"/>
    </row>
    <row r="6" spans="1:11" s="40" customFormat="1" x14ac:dyDescent="0.25">
      <c r="A6" s="2"/>
      <c r="B6" s="38"/>
      <c r="C6" s="41"/>
      <c r="D6" s="3"/>
      <c r="F6" s="7"/>
      <c r="G6" s="29"/>
    </row>
    <row r="7" spans="1:11" x14ac:dyDescent="0.25">
      <c r="C7" s="48" t="s">
        <v>389</v>
      </c>
      <c r="D7" s="42" t="s">
        <v>388</v>
      </c>
      <c r="E7" s="42" t="s">
        <v>390</v>
      </c>
      <c r="F7" s="49" t="s">
        <v>392</v>
      </c>
      <c r="G7" s="50" t="s">
        <v>391</v>
      </c>
      <c r="H7" s="48" t="s">
        <v>394</v>
      </c>
      <c r="I7" s="48" t="s">
        <v>395</v>
      </c>
      <c r="J7" s="48" t="s">
        <v>545</v>
      </c>
      <c r="K7" s="48" t="s">
        <v>562</v>
      </c>
    </row>
    <row r="9" spans="1:11" x14ac:dyDescent="0.25">
      <c r="A9" s="305" t="s">
        <v>321</v>
      </c>
      <c r="B9" s="305"/>
      <c r="C9" s="44" t="s">
        <v>125</v>
      </c>
      <c r="D9" s="221">
        <v>1</v>
      </c>
    </row>
    <row r="10" spans="1:11" s="43" customFormat="1" x14ac:dyDescent="0.25">
      <c r="A10" s="309"/>
      <c r="B10" s="309"/>
      <c r="C10" s="43">
        <f t="shared" ref="C10:C15" si="0">CostAcidCloud*IF($H$1, 1.3, 1)*(1-$D$2/100)-$F$103</f>
        <v>157.5</v>
      </c>
      <c r="D10" s="43">
        <f>C10*60/ROUNDDOWN(60/1/$B$2, 0)</f>
        <v>248.68421052631578</v>
      </c>
      <c r="E10" s="43">
        <f t="shared" ref="E10:E15" si="1">$H$5-D10</f>
        <v>-188.68421052631578</v>
      </c>
      <c r="F10" s="10">
        <f>IF(E10&lt;0, $D$3/-E10, "-")</f>
        <v>3.97489539748954</v>
      </c>
      <c r="G10" s="14">
        <f>IF(E10&lt;0, F10*60/ROUNDDOWN(60/1/$B$2, 0), "-")</f>
        <v>6.2761506276150634</v>
      </c>
      <c r="H10" s="13">
        <f>$B$4</f>
        <v>1000</v>
      </c>
      <c r="I10" s="13">
        <f>60/ROUNDDOWN(60/1/$B$2, 0)*$B$4</f>
        <v>1578.9473684210527</v>
      </c>
      <c r="J10" s="43">
        <f>ProcAcidCloud*TRateAcidCloud*$D$9</f>
        <v>0.97599999999999998</v>
      </c>
      <c r="K10" s="43">
        <f>J10</f>
        <v>0.97599999999999998</v>
      </c>
    </row>
    <row r="11" spans="1:11" x14ac:dyDescent="0.25">
      <c r="A11" s="287" t="s">
        <v>323</v>
      </c>
      <c r="B11" s="287"/>
      <c r="C11" s="43">
        <f t="shared" si="0"/>
        <v>157.5</v>
      </c>
      <c r="D11" s="233">
        <f>C11*60/ROUNDDOWN(60/1/$B$2, 0)</f>
        <v>248.68421052631578</v>
      </c>
      <c r="E11" s="43">
        <f t="shared" si="1"/>
        <v>-188.68421052631578</v>
      </c>
      <c r="F11" s="10">
        <f t="shared" ref="F11:F15" si="2">IF(E11&lt;0, $D$3/-E11, "-")</f>
        <v>3.97489539748954</v>
      </c>
      <c r="G11" s="14">
        <f t="shared" ref="G11:G15" si="3">IF(E11&lt;0, F11*60/ROUNDDOWN(60/1/$B$2, 0), "-")</f>
        <v>6.2761506276150634</v>
      </c>
      <c r="H11" s="13">
        <f t="shared" ref="H11:H15" si="4">$B$4</f>
        <v>1000</v>
      </c>
      <c r="I11" s="13">
        <f t="shared" ref="I11:I15" si="5">60/ROUNDDOWN(60/1/$B$2, 0)*$B$4</f>
        <v>1578.9473684210527</v>
      </c>
      <c r="J11" s="231">
        <f>ProcAcidCloudAcidRain*TRateAcidCloud*$D$9</f>
        <v>0.8</v>
      </c>
      <c r="K11" s="231">
        <f t="shared" ref="K11:K14" si="6">J11</f>
        <v>0.8</v>
      </c>
    </row>
    <row r="12" spans="1:11" x14ac:dyDescent="0.25">
      <c r="A12" s="287" t="s">
        <v>324</v>
      </c>
      <c r="B12" s="287"/>
      <c r="C12" s="43">
        <f t="shared" si="0"/>
        <v>157.5</v>
      </c>
      <c r="D12" s="43">
        <f t="shared" ref="D12:D15" si="7">C12*60/ROUNDDOWN(60/1/$B$2, 0)</f>
        <v>248.68421052631578</v>
      </c>
      <c r="E12" s="43">
        <f t="shared" si="1"/>
        <v>-188.68421052631578</v>
      </c>
      <c r="F12" s="10">
        <f t="shared" si="2"/>
        <v>3.97489539748954</v>
      </c>
      <c r="G12" s="14">
        <f t="shared" si="3"/>
        <v>6.2761506276150634</v>
      </c>
      <c r="H12" s="13">
        <f t="shared" si="4"/>
        <v>1000</v>
      </c>
      <c r="I12" s="13">
        <f t="shared" si="5"/>
        <v>1578.9473684210527</v>
      </c>
      <c r="J12" s="231">
        <f>ProcAcidCloud*TRateAcidCloud*$D$9</f>
        <v>0.97599999999999998</v>
      </c>
      <c r="K12" s="231">
        <f t="shared" si="6"/>
        <v>0.97599999999999998</v>
      </c>
    </row>
    <row r="13" spans="1:11" x14ac:dyDescent="0.25">
      <c r="A13" s="287" t="s">
        <v>325</v>
      </c>
      <c r="B13" s="287"/>
      <c r="C13" s="43">
        <f t="shared" si="0"/>
        <v>157.5</v>
      </c>
      <c r="D13" s="43">
        <f t="shared" si="7"/>
        <v>248.68421052631578</v>
      </c>
      <c r="E13" s="43">
        <f t="shared" si="1"/>
        <v>-188.68421052631578</v>
      </c>
      <c r="F13" s="10">
        <f t="shared" si="2"/>
        <v>3.97489539748954</v>
      </c>
      <c r="G13" s="14">
        <f t="shared" si="3"/>
        <v>6.2761506276150634</v>
      </c>
      <c r="H13" s="13">
        <f t="shared" si="4"/>
        <v>1000</v>
      </c>
      <c r="I13" s="13">
        <f t="shared" si="5"/>
        <v>1578.9473684210527</v>
      </c>
      <c r="J13" s="231">
        <f>ProcAcidCloud*TRateAcidCloud*$D$9</f>
        <v>0.97599999999999998</v>
      </c>
      <c r="K13" s="231">
        <f t="shared" si="6"/>
        <v>0.97599999999999998</v>
      </c>
    </row>
    <row r="14" spans="1:11" x14ac:dyDescent="0.25">
      <c r="A14" s="287" t="s">
        <v>326</v>
      </c>
      <c r="B14" s="287"/>
      <c r="C14" s="43">
        <f t="shared" si="0"/>
        <v>157.5</v>
      </c>
      <c r="D14" s="43">
        <f t="shared" si="7"/>
        <v>248.68421052631578</v>
      </c>
      <c r="E14" s="43">
        <f t="shared" si="1"/>
        <v>-188.68421052631578</v>
      </c>
      <c r="F14" s="10">
        <f t="shared" si="2"/>
        <v>3.97489539748954</v>
      </c>
      <c r="G14" s="14">
        <f t="shared" si="3"/>
        <v>6.2761506276150634</v>
      </c>
      <c r="H14" s="13">
        <f t="shared" si="4"/>
        <v>1000</v>
      </c>
      <c r="I14" s="13">
        <f t="shared" si="5"/>
        <v>1578.9473684210527</v>
      </c>
      <c r="J14" s="231">
        <f>ProcAcidCloud*TRateAcidCloud*$D$9</f>
        <v>0.97599999999999998</v>
      </c>
      <c r="K14" s="231">
        <f t="shared" si="6"/>
        <v>0.97599999999999998</v>
      </c>
    </row>
    <row r="15" spans="1:11" x14ac:dyDescent="0.25">
      <c r="A15" s="287" t="s">
        <v>327</v>
      </c>
      <c r="B15" s="287"/>
      <c r="C15" s="43">
        <f t="shared" si="0"/>
        <v>157.5</v>
      </c>
      <c r="D15" s="43">
        <f t="shared" si="7"/>
        <v>248.68421052631578</v>
      </c>
      <c r="E15" s="43">
        <f t="shared" si="1"/>
        <v>-188.68421052631578</v>
      </c>
      <c r="F15" s="10">
        <f t="shared" si="2"/>
        <v>3.97489539748954</v>
      </c>
      <c r="G15" s="14">
        <f t="shared" si="3"/>
        <v>6.2761506276150634</v>
      </c>
      <c r="H15" s="13">
        <f t="shared" si="4"/>
        <v>1000</v>
      </c>
      <c r="I15" s="13">
        <f t="shared" si="5"/>
        <v>1578.9473684210527</v>
      </c>
      <c r="J15" s="231">
        <f>ProcAcidCloudCorpseBomb*$D$9</f>
        <v>0.33333333333333331</v>
      </c>
      <c r="K15">
        <f>J15*60/ROUNDDOWN(60/1/$B$2, 0)</f>
        <v>0.52631578947368418</v>
      </c>
    </row>
    <row r="17" spans="1:11" s="43" customFormat="1" x14ac:dyDescent="0.25">
      <c r="A17" s="305" t="s">
        <v>148</v>
      </c>
      <c r="B17" s="305"/>
    </row>
    <row r="18" spans="1:11" s="43" customFormat="1" x14ac:dyDescent="0.25">
      <c r="A18" s="309"/>
      <c r="B18" s="309"/>
      <c r="F18" s="10"/>
      <c r="G18" s="14"/>
      <c r="H18" s="13">
        <f t="shared" ref="H18:H23" si="8">$B$4</f>
        <v>1000</v>
      </c>
      <c r="I18" s="13">
        <f t="shared" ref="I18:I23" si="9">60/ROUNDDOWN(60/1/$B$2, 0)*$B$4</f>
        <v>1578.9473684210527</v>
      </c>
      <c r="J18" s="231">
        <f>ProcCorpseSpiders*TRateCorpseSpiders</f>
        <v>0.44444444444444442</v>
      </c>
      <c r="K18" s="231">
        <f>J18*60/ROUNDDOWN(60/1/$B$2, 0)</f>
        <v>0.70175438596491224</v>
      </c>
    </row>
    <row r="19" spans="1:11" x14ac:dyDescent="0.25">
      <c r="A19" s="287" t="s">
        <v>150</v>
      </c>
      <c r="B19" s="287"/>
      <c r="H19" s="13">
        <f t="shared" si="8"/>
        <v>1000</v>
      </c>
      <c r="I19" s="13">
        <f t="shared" si="9"/>
        <v>1578.9473684210527</v>
      </c>
      <c r="J19" s="231">
        <f>ProcCorpseSpiders*TRateCorpseSpiders</f>
        <v>0.44444444444444442</v>
      </c>
      <c r="K19" s="231">
        <f t="shared" ref="K19:K23" si="10">J19*60/ROUNDDOWN(60/1/$B$2, 0)</f>
        <v>0.70175438596491224</v>
      </c>
    </row>
    <row r="20" spans="1:11" x14ac:dyDescent="0.25">
      <c r="A20" s="287" t="s">
        <v>151</v>
      </c>
      <c r="B20" s="287"/>
      <c r="H20" s="13">
        <f t="shared" si="8"/>
        <v>1000</v>
      </c>
      <c r="I20" s="13">
        <f t="shared" si="9"/>
        <v>1578.9473684210527</v>
      </c>
      <c r="J20" s="231">
        <f>ProcCorpseSpidersQueen*TRateCorpseSpidersQueen</f>
        <v>0.3</v>
      </c>
      <c r="K20" s="231">
        <f t="shared" si="10"/>
        <v>0.47368421052631576</v>
      </c>
    </row>
    <row r="21" spans="1:11" x14ac:dyDescent="0.25">
      <c r="A21" s="287" t="s">
        <v>152</v>
      </c>
      <c r="B21" s="287"/>
      <c r="H21" s="13">
        <f t="shared" si="8"/>
        <v>1000</v>
      </c>
      <c r="I21" s="13">
        <f t="shared" si="9"/>
        <v>1578.9473684210527</v>
      </c>
      <c r="J21" s="231">
        <f>ProcCorpseSpiders*TRateCorpseSpiders</f>
        <v>0.44444444444444442</v>
      </c>
      <c r="K21" s="231">
        <f t="shared" si="10"/>
        <v>0.70175438596491224</v>
      </c>
    </row>
    <row r="22" spans="1:11" x14ac:dyDescent="0.25">
      <c r="A22" s="287" t="s">
        <v>153</v>
      </c>
      <c r="B22" s="287"/>
      <c r="H22" s="13">
        <f t="shared" si="8"/>
        <v>1000</v>
      </c>
      <c r="I22" s="13">
        <f t="shared" si="9"/>
        <v>1578.9473684210527</v>
      </c>
      <c r="J22" s="231">
        <f>ProcCorpseSpiders*TRateCorpseSpiders</f>
        <v>0.44444444444444442</v>
      </c>
      <c r="K22" s="231">
        <f t="shared" si="10"/>
        <v>0.70175438596491224</v>
      </c>
    </row>
    <row r="23" spans="1:11" x14ac:dyDescent="0.25">
      <c r="A23" s="287" t="s">
        <v>154</v>
      </c>
      <c r="B23" s="287"/>
      <c r="H23" s="13">
        <f t="shared" si="8"/>
        <v>1000</v>
      </c>
      <c r="I23" s="13">
        <f t="shared" si="9"/>
        <v>1578.9473684210527</v>
      </c>
      <c r="J23" s="231">
        <f>ProcCorpseSpiders*TRateCorpseSpiders</f>
        <v>0.44444444444444442</v>
      </c>
      <c r="K23" s="231">
        <f t="shared" si="10"/>
        <v>0.70175438596491224</v>
      </c>
    </row>
    <row r="24" spans="1:11" s="43" customFormat="1" x14ac:dyDescent="0.25"/>
    <row r="25" spans="1:11" s="43" customFormat="1" x14ac:dyDescent="0.25">
      <c r="A25" s="305" t="s">
        <v>203</v>
      </c>
      <c r="B25" s="305"/>
      <c r="C25" s="44" t="s">
        <v>125</v>
      </c>
      <c r="D25" s="221">
        <v>1</v>
      </c>
      <c r="E25" s="44" t="s">
        <v>393</v>
      </c>
      <c r="F25" s="221">
        <v>0</v>
      </c>
    </row>
    <row r="26" spans="1:11" s="43" customFormat="1" x14ac:dyDescent="0.25">
      <c r="A26" s="309"/>
      <c r="B26" s="309"/>
      <c r="C26" s="43">
        <f t="shared" ref="C26:C31" si="11">CostFirebats*IF($H$1, 1.3, 1)*(1-$D$2/100)-$F$25</f>
        <v>135</v>
      </c>
      <c r="D26" s="43">
        <f>(Cost2Firebats*IF($H$1, 1.3, 1)*(1-RCRFire/100)-$F$25)/TCoefFirebats*60/ROUNDDOWN(60/TCoefFirebats/$B$2, 0)</f>
        <v>106.57894736842105</v>
      </c>
      <c r="E26" s="43">
        <f t="shared" ref="E26:E31" si="12">$H$5-D26</f>
        <v>-46.578947368421055</v>
      </c>
      <c r="F26" s="10">
        <f>IF(E26&lt;0, ($D$3-C26)/-E26, "-")</f>
        <v>13.203389830508474</v>
      </c>
      <c r="G26" s="14">
        <f t="shared" ref="G26:G31" si="13">IF(E26&lt;0, F26*60/ROUNDDOWN(60/TCoefFirebats/$B$2, 0), "-")</f>
        <v>41.694915254237287</v>
      </c>
      <c r="H26" s="13">
        <f t="shared" ref="H26:H31" si="14">$B$4</f>
        <v>1000</v>
      </c>
      <c r="I26" s="13">
        <f t="shared" ref="I26:I31" si="15">60/ROUNDDOWN(60/1/$B$2, 0)*$B$4</f>
        <v>1578.9473684210527</v>
      </c>
      <c r="J26" s="43">
        <f>ProcFirebats*TCoefFirebats*$D$25</f>
        <v>0.33333333333333331</v>
      </c>
      <c r="K26" s="231">
        <f>ProcFirebats*60/ROUNDDOWN(60/TCoefFirebats/$B$2, 0)*$D$25</f>
        <v>0.52631578947368418</v>
      </c>
    </row>
    <row r="27" spans="1:11" s="43" customFormat="1" x14ac:dyDescent="0.25">
      <c r="A27" s="287" t="s">
        <v>204</v>
      </c>
      <c r="B27" s="287"/>
      <c r="C27" s="43">
        <f t="shared" si="11"/>
        <v>135</v>
      </c>
      <c r="D27" s="43">
        <f>(Cost2Firebats*IF($H$1, 1.3, 1)*(1-RCRFire/100)-$F$25)/TCoefFirebats*60/ROUNDDOWN(60/TCoefFirebats/$B$2, 0)</f>
        <v>106.57894736842105</v>
      </c>
      <c r="E27" s="43">
        <f t="shared" si="12"/>
        <v>-46.578947368421055</v>
      </c>
      <c r="F27" s="10">
        <f t="shared" ref="F27:F31" si="16">IF(E27&lt;0, ($D$3-C27)/-E27, "-")</f>
        <v>13.203389830508474</v>
      </c>
      <c r="G27" s="14">
        <f t="shared" si="13"/>
        <v>41.694915254237287</v>
      </c>
      <c r="H27" s="13">
        <f t="shared" si="14"/>
        <v>1000</v>
      </c>
      <c r="I27" s="13">
        <f t="shared" si="15"/>
        <v>1578.9473684210527</v>
      </c>
      <c r="J27" s="231">
        <f>ProcFirebatsDire*$D$25</f>
        <v>0.33333333333333331</v>
      </c>
      <c r="K27" s="231">
        <f>ProcFirebatsDire*60/ROUNDDOWN(60/TCoefFirebats/$B$2, 0)*$D$25</f>
        <v>1.0526315789473684</v>
      </c>
    </row>
    <row r="28" spans="1:11" s="43" customFormat="1" x14ac:dyDescent="0.25">
      <c r="A28" s="287" t="s">
        <v>206</v>
      </c>
      <c r="B28" s="287"/>
      <c r="C28" s="43">
        <f>CostFirebatsVampire*IF($H$1, 1.3, 1)*(1-$D$2/100)-$F$25</f>
        <v>202.5</v>
      </c>
      <c r="D28" s="43">
        <v>0</v>
      </c>
      <c r="E28" s="43">
        <f t="shared" si="12"/>
        <v>60</v>
      </c>
      <c r="F28" s="10" t="str">
        <f t="shared" si="16"/>
        <v>-</v>
      </c>
      <c r="G28" s="14" t="str">
        <f t="shared" si="13"/>
        <v>-</v>
      </c>
      <c r="H28" s="13">
        <f t="shared" si="14"/>
        <v>1000</v>
      </c>
      <c r="I28" s="13">
        <f t="shared" si="15"/>
        <v>1578.9473684210527</v>
      </c>
      <c r="J28" s="231">
        <f>ProcFirebats*TCoefFirebats*$D$25</f>
        <v>0.33333333333333331</v>
      </c>
      <c r="K28" s="231">
        <f>ProcFirebats*60/ROUNDDOWN(60/TCoefFirebats/$B$2, 0)*$D$25</f>
        <v>0.52631578947368418</v>
      </c>
    </row>
    <row r="29" spans="1:11" s="43" customFormat="1" x14ac:dyDescent="0.25">
      <c r="A29" s="287" t="s">
        <v>207</v>
      </c>
      <c r="B29" s="287"/>
      <c r="C29" s="43">
        <f t="shared" si="11"/>
        <v>135</v>
      </c>
      <c r="D29" s="43">
        <f>(Cost2Firebats*IF($H$1, 1.3, 1)*(1-$D$2/100)-$F$25)/TCoefFirebats*60/ROUNDDOWN(60/TCoefFirebats/$B$2, 0)</f>
        <v>106.57894736842105</v>
      </c>
      <c r="E29" s="43">
        <f t="shared" si="12"/>
        <v>-46.578947368421055</v>
      </c>
      <c r="F29" s="10">
        <f t="shared" si="16"/>
        <v>13.203389830508474</v>
      </c>
      <c r="G29" s="14">
        <f t="shared" si="13"/>
        <v>41.694915254237287</v>
      </c>
      <c r="H29" s="13">
        <f t="shared" si="14"/>
        <v>1000</v>
      </c>
      <c r="I29" s="13">
        <f t="shared" si="15"/>
        <v>1578.9473684210527</v>
      </c>
      <c r="J29" s="231">
        <f>ProcFirebats*TCoefFirebats*$D$25</f>
        <v>0.33333333333333331</v>
      </c>
      <c r="K29" s="231">
        <f>ProcFirebats*60/ROUNDDOWN(60/TCoefFirebats/$B$2, 0)*$D$25</f>
        <v>0.52631578947368418</v>
      </c>
    </row>
    <row r="30" spans="1:11" s="43" customFormat="1" x14ac:dyDescent="0.25">
      <c r="A30" s="287" t="s">
        <v>208</v>
      </c>
      <c r="B30" s="287"/>
      <c r="C30" s="43">
        <f t="shared" si="11"/>
        <v>135</v>
      </c>
      <c r="D30" s="43">
        <f>(Cost2Firebats*IF($H$1, 1.3, 1)*(1-RCRFire/100)-$F$25)/TCoefFirebats*60/ROUNDDOWN(60/TCoefFirebats/$B$2, 0)</f>
        <v>106.57894736842105</v>
      </c>
      <c r="E30" s="43">
        <f t="shared" si="12"/>
        <v>-46.578947368421055</v>
      </c>
      <c r="F30" s="10">
        <f t="shared" si="16"/>
        <v>13.203389830508474</v>
      </c>
      <c r="G30" s="14">
        <f t="shared" si="13"/>
        <v>41.694915254237287</v>
      </c>
      <c r="H30" s="13">
        <f t="shared" si="14"/>
        <v>1000</v>
      </c>
      <c r="I30" s="13">
        <f t="shared" si="15"/>
        <v>1578.9473684210527</v>
      </c>
      <c r="J30" s="231">
        <f>ProcFirebatsHungry*TCoefFirebats*$D$25</f>
        <v>1</v>
      </c>
      <c r="K30" s="231">
        <f>ProcFirebatsHungry*60/ROUNDDOWN(60/TCoefFirebats/$B$2, 0)*$D$25</f>
        <v>1.5789473684210527</v>
      </c>
    </row>
    <row r="31" spans="1:11" s="43" customFormat="1" x14ac:dyDescent="0.25">
      <c r="A31" s="287" t="s">
        <v>209</v>
      </c>
      <c r="B31" s="287"/>
      <c r="C31" s="43">
        <f t="shared" si="11"/>
        <v>135</v>
      </c>
      <c r="D31" s="43">
        <f>(Cost2Firebats*IF($H$1, 1.3, 1)*(1-RCRFire/100)-$F$25)/TCoefFirebats*60/ROUNDDOWN(60/TCoefFirebats/$B$2, 0)</f>
        <v>106.57894736842105</v>
      </c>
      <c r="E31" s="43">
        <f t="shared" si="12"/>
        <v>-46.578947368421055</v>
      </c>
      <c r="F31" s="10">
        <f t="shared" si="16"/>
        <v>13.203389830508474</v>
      </c>
      <c r="G31" s="14">
        <f t="shared" si="13"/>
        <v>41.694915254237287</v>
      </c>
      <c r="H31" s="13">
        <f t="shared" si="14"/>
        <v>1000</v>
      </c>
      <c r="I31" s="13">
        <f t="shared" si="15"/>
        <v>1578.9473684210527</v>
      </c>
      <c r="J31" s="231">
        <f>ProcFirebatsCoB*TCoefFirebats*$D$25</f>
        <v>0.5</v>
      </c>
      <c r="K31" s="231">
        <f>ProcFirebatsCoB*60/ROUNDDOWN(60/TCoefFirebats/$B$2, 0)*$D$25</f>
        <v>0.78947368421052633</v>
      </c>
    </row>
    <row r="32" spans="1:11" s="43" customFormat="1" x14ac:dyDescent="0.25"/>
    <row r="33" spans="1:11" s="43" customFormat="1" x14ac:dyDescent="0.25">
      <c r="A33" s="305" t="s">
        <v>163</v>
      </c>
      <c r="B33" s="305"/>
      <c r="C33" s="44" t="s">
        <v>125</v>
      </c>
      <c r="D33" s="221">
        <v>1</v>
      </c>
    </row>
    <row r="34" spans="1:11" s="43" customFormat="1" x14ac:dyDescent="0.25">
      <c r="A34" s="309"/>
      <c r="B34" s="309"/>
      <c r="H34" s="13">
        <f t="shared" ref="H34:H39" si="17">$B$4</f>
        <v>1000</v>
      </c>
      <c r="I34" s="13">
        <f t="shared" ref="I34:I39" si="18">60/ROUNDDOWN(60/1/$B$2, 0)*$B$4</f>
        <v>1578.9473684210527</v>
      </c>
      <c r="J34" s="43">
        <f>ProcFirebomb*$D$33</f>
        <v>0.66666666666666663</v>
      </c>
      <c r="K34" s="43">
        <f>J34*60/ROUNDDOWN(60/1/$B$2, 0)</f>
        <v>1.0526315789473684</v>
      </c>
    </row>
    <row r="35" spans="1:11" s="43" customFormat="1" x14ac:dyDescent="0.25">
      <c r="A35" s="307" t="s">
        <v>165</v>
      </c>
      <c r="B35" s="307"/>
      <c r="H35" s="13">
        <f t="shared" si="17"/>
        <v>1000</v>
      </c>
      <c r="I35" s="13">
        <f t="shared" si="18"/>
        <v>1578.9473684210527</v>
      </c>
      <c r="J35" s="231">
        <f>ProcFirebombFlashFire*$D$33</f>
        <v>0.2</v>
      </c>
      <c r="K35" s="231">
        <f t="shared" ref="K35:K39" si="19">J35*60/ROUNDDOWN(60/1/$B$2, 0)</f>
        <v>0.31578947368421051</v>
      </c>
    </row>
    <row r="36" spans="1:11" s="43" customFormat="1" x14ac:dyDescent="0.25">
      <c r="A36" s="307" t="s">
        <v>167</v>
      </c>
      <c r="B36" s="307"/>
      <c r="H36" s="13">
        <f t="shared" si="17"/>
        <v>1000</v>
      </c>
      <c r="I36" s="13">
        <f t="shared" si="18"/>
        <v>1578.9473684210527</v>
      </c>
      <c r="J36" s="231">
        <f>ProcFirebombRollBones*$D$33</f>
        <v>0.2</v>
      </c>
      <c r="K36" s="231">
        <f t="shared" si="19"/>
        <v>0.31578947368421051</v>
      </c>
    </row>
    <row r="37" spans="1:11" s="43" customFormat="1" x14ac:dyDescent="0.25">
      <c r="A37" s="307" t="s">
        <v>169</v>
      </c>
      <c r="B37" s="307"/>
      <c r="H37" s="13">
        <f t="shared" si="17"/>
        <v>1000</v>
      </c>
      <c r="I37" s="13">
        <f t="shared" si="18"/>
        <v>1578.9473684210527</v>
      </c>
      <c r="J37" s="231">
        <f>ProcFirebombFirePit*TRateFirebombFirePit*DoTDurFirebombFirePit*$D$33</f>
        <v>0.4</v>
      </c>
      <c r="K37" s="231">
        <f>J37*60/ROUNDDOWN(60/1/$B$2, 0)/DoTDurFirebombFirePit</f>
        <v>0.21052631578947367</v>
      </c>
    </row>
    <row r="38" spans="1:11" s="43" customFormat="1" x14ac:dyDescent="0.25">
      <c r="A38" s="307" t="s">
        <v>171</v>
      </c>
      <c r="B38" s="307"/>
      <c r="H38" s="13">
        <f t="shared" si="17"/>
        <v>1000</v>
      </c>
      <c r="I38" s="13">
        <f t="shared" si="18"/>
        <v>1578.9473684210527</v>
      </c>
      <c r="J38" s="231">
        <f>ProcFirebombPyrogeist*TRateFirebombPyrogeist*DoTDurFirebombPyrogeist*$D$33</f>
        <v>1.8000000000000003</v>
      </c>
      <c r="K38" s="231">
        <f>J38*60/ROUNDDOWN(60/1/$B$2, 0)/DoTDurFirebombPyrogeist</f>
        <v>0.47368421052631587</v>
      </c>
    </row>
    <row r="39" spans="1:11" s="43" customFormat="1" x14ac:dyDescent="0.25">
      <c r="A39" s="307" t="s">
        <v>173</v>
      </c>
      <c r="B39" s="307"/>
      <c r="H39" s="13">
        <f t="shared" si="17"/>
        <v>1000</v>
      </c>
      <c r="I39" s="13">
        <f t="shared" si="18"/>
        <v>1578.9473684210527</v>
      </c>
      <c r="J39" s="231">
        <f>ProcFirebombGhostBomb*$D$33</f>
        <v>0.16666666666666666</v>
      </c>
      <c r="K39" s="231">
        <f t="shared" si="19"/>
        <v>0.26315789473684209</v>
      </c>
    </row>
    <row r="40" spans="1:11" s="43" customFormat="1" x14ac:dyDescent="0.25"/>
    <row r="41" spans="1:11" s="43" customFormat="1" x14ac:dyDescent="0.25">
      <c r="A41" s="308" t="s">
        <v>192</v>
      </c>
      <c r="B41" s="308"/>
      <c r="C41" s="53" t="s">
        <v>125</v>
      </c>
      <c r="D41" s="221">
        <v>1</v>
      </c>
    </row>
    <row r="42" spans="1:11" s="43" customFormat="1" x14ac:dyDescent="0.25">
      <c r="A42" s="306"/>
      <c r="B42" s="306"/>
      <c r="C42" s="51">
        <f t="shared" ref="C42:C47" si="20">CostGraspDead*IF($H$1, 1.3, 1)*(1-$D$2/100)-$F$103</f>
        <v>135</v>
      </c>
      <c r="D42" s="43">
        <f>C42/INDEX(Reductions!$B$28:'Reductions'!$J$29,2,MATCH(CDGraspDead,Reductions!$B$28:'Reductions'!$J$28,0))</f>
        <v>18.75</v>
      </c>
      <c r="H42" s="13">
        <f t="shared" ref="H42:H47" si="21">$B$4</f>
        <v>1000</v>
      </c>
      <c r="I42" s="13">
        <f t="shared" ref="I42:I47" si="22">60/ROUNDDOWN(60/1/$B$2, 0)*$B$4</f>
        <v>1578.9473684210527</v>
      </c>
      <c r="J42" s="43">
        <f t="shared" ref="J42:J47" si="23">ProcGraspDead*TRateGraspDead*DoTDurGraspDead*$D$41</f>
        <v>1.0666666666666667</v>
      </c>
      <c r="K42" s="43">
        <f>J42/INDEX(Reductions!$B$28:'Reductions'!$J$29,2,MATCH(CDGraspDead,Reductions!$B$28:'Reductions'!$J$28,0))</f>
        <v>0.14814814814814814</v>
      </c>
    </row>
    <row r="43" spans="1:11" s="43" customFormat="1" x14ac:dyDescent="0.25">
      <c r="A43" s="307" t="s">
        <v>194</v>
      </c>
      <c r="B43" s="307"/>
      <c r="C43" s="51">
        <f t="shared" si="20"/>
        <v>135</v>
      </c>
      <c r="D43" s="51">
        <f>C43/INDEX(Reductions!$B$28:'Reductions'!$J$29,2,MATCH(CDGraspDead,Reductions!$B$28:'Reductions'!$J$28,0))</f>
        <v>18.75</v>
      </c>
      <c r="H43" s="13">
        <f t="shared" si="21"/>
        <v>1000</v>
      </c>
      <c r="I43" s="13">
        <f t="shared" si="22"/>
        <v>1578.9473684210527</v>
      </c>
      <c r="J43" s="231">
        <f t="shared" si="23"/>
        <v>1.0666666666666667</v>
      </c>
      <c r="K43" s="231">
        <f>J43/INDEX(Reductions!$B$28:'Reductions'!$J$29,2,MATCH(CDGraspDead,Reductions!$B$28:'Reductions'!$J$28,0))</f>
        <v>0.14814814814814814</v>
      </c>
    </row>
    <row r="44" spans="1:11" s="43" customFormat="1" x14ac:dyDescent="0.25">
      <c r="A44" s="307" t="s">
        <v>196</v>
      </c>
      <c r="B44" s="307"/>
      <c r="C44" s="51">
        <f t="shared" si="20"/>
        <v>135</v>
      </c>
      <c r="D44" s="51">
        <f>C44/INDEX(Reductions!$B$28:'Reductions'!$J$29,2,MATCH(CDGraspDead,Reductions!$B$28:'Reductions'!$J$28,0))</f>
        <v>18.75</v>
      </c>
      <c r="H44" s="13">
        <f t="shared" si="21"/>
        <v>1000</v>
      </c>
      <c r="I44" s="13">
        <f t="shared" si="22"/>
        <v>1578.9473684210527</v>
      </c>
      <c r="J44" s="231">
        <f t="shared" si="23"/>
        <v>1.0666666666666667</v>
      </c>
      <c r="K44" s="231">
        <f>J44/INDEX(Reductions!$B$28:'Reductions'!$J$29,2,MATCH(CDGraspDead,Reductions!$B$28:'Reductions'!$J$28,0))</f>
        <v>0.14814814814814814</v>
      </c>
    </row>
    <row r="45" spans="1:11" s="43" customFormat="1" x14ac:dyDescent="0.25">
      <c r="A45" s="307" t="s">
        <v>197</v>
      </c>
      <c r="B45" s="307"/>
      <c r="C45" s="51">
        <f t="shared" si="20"/>
        <v>135</v>
      </c>
      <c r="D45" s="51">
        <f>C45/INDEX(Reductions!$B$28:'Reductions'!$J$29,2,MATCH(CDGraspDead,Reductions!$B$28:'Reductions'!$J$28,0))</f>
        <v>18.75</v>
      </c>
      <c r="H45" s="13">
        <f t="shared" si="21"/>
        <v>1000</v>
      </c>
      <c r="I45" s="13">
        <f t="shared" si="22"/>
        <v>1578.9473684210527</v>
      </c>
      <c r="J45" s="231">
        <f t="shared" si="23"/>
        <v>1.0666666666666667</v>
      </c>
      <c r="K45" s="231">
        <f>J45/INDEX(Reductions!$B$28:'Reductions'!$J$29,2,MATCH(CDGraspDead,Reductions!$B$28:'Reductions'!$J$28,0))</f>
        <v>0.14814814814814814</v>
      </c>
    </row>
    <row r="46" spans="1:11" s="43" customFormat="1" x14ac:dyDescent="0.25">
      <c r="A46" s="307" t="s">
        <v>199</v>
      </c>
      <c r="B46" s="307"/>
      <c r="C46" s="51">
        <f t="shared" si="20"/>
        <v>135</v>
      </c>
      <c r="D46" s="51">
        <f>C46/INDEX(Reductions!$B$28:'Reductions'!$J$29,2,MATCH(CDGraspDeadDesperate,Reductions!$B$28:'Reductions'!$J$28,0))</f>
        <v>25</v>
      </c>
      <c r="H46" s="13">
        <f t="shared" si="21"/>
        <v>1000</v>
      </c>
      <c r="I46" s="13">
        <f t="shared" si="22"/>
        <v>1578.9473684210527</v>
      </c>
      <c r="J46" s="231">
        <f t="shared" si="23"/>
        <v>1.0666666666666667</v>
      </c>
      <c r="K46" s="231">
        <f>J46/INDEX(Reductions!$B$28:'Reductions'!$J$29,2,MATCH(CDGraspDeadDesperate,Reductions!$B$28:'Reductions'!$J$28,0))</f>
        <v>0.19753086419753085</v>
      </c>
    </row>
    <row r="47" spans="1:11" s="43" customFormat="1" x14ac:dyDescent="0.25">
      <c r="A47" s="307" t="s">
        <v>200</v>
      </c>
      <c r="B47" s="307"/>
      <c r="C47" s="51">
        <f t="shared" si="20"/>
        <v>135</v>
      </c>
      <c r="D47" s="51">
        <f>C47/INDEX(Reductions!$B$28:'Reductions'!$J$29,2,MATCH(CDGraspDead,Reductions!$B$28:'Reductions'!$J$28,0))</f>
        <v>18.75</v>
      </c>
      <c r="H47" s="13">
        <f t="shared" si="21"/>
        <v>1000</v>
      </c>
      <c r="I47" s="13">
        <f t="shared" si="22"/>
        <v>1578.9473684210527</v>
      </c>
      <c r="J47" s="231">
        <f t="shared" si="23"/>
        <v>1.0666666666666667</v>
      </c>
      <c r="K47" s="231">
        <f>J47/INDEX(Reductions!$B$28:'Reductions'!$J$29,2,MATCH(CDGraspDead,Reductions!$B$28:'Reductions'!$J$28,0))</f>
        <v>0.14814814814814814</v>
      </c>
    </row>
    <row r="48" spans="1:11" s="43" customFormat="1" x14ac:dyDescent="0.25"/>
    <row r="49" spans="1:11" s="43" customFormat="1" x14ac:dyDescent="0.25">
      <c r="A49" s="308" t="s">
        <v>213</v>
      </c>
      <c r="B49" s="308"/>
    </row>
    <row r="50" spans="1:11" s="43" customFormat="1" x14ac:dyDescent="0.25">
      <c r="A50" s="306"/>
      <c r="B50" s="306"/>
      <c r="C50" s="51">
        <f t="shared" ref="C50:C55" si="24">CostHaunt*IF($H$1, 1.3, 1)*(1-$D$2/100)-$F$103</f>
        <v>45</v>
      </c>
      <c r="D50" s="43">
        <f t="shared" ref="D50:D55" si="25">C50/(IF($K$4, 300, DoTDurHaunt)/IF($K$3, 2, 1))</f>
        <v>3.75</v>
      </c>
      <c r="H50" s="13">
        <f t="shared" ref="H50:H55" si="26">$B$4</f>
        <v>1000</v>
      </c>
      <c r="I50" s="13">
        <f t="shared" ref="I50:I55" si="27">60/ROUNDDOWN(60/1/$B$2, 0)*$B$4</f>
        <v>1578.9473684210527</v>
      </c>
      <c r="J50" s="232">
        <f t="shared" ref="J50:J55" si="28">ProcHaunt*TRateHaunt*DoTDurHaunt</f>
        <v>12</v>
      </c>
      <c r="K50" s="231">
        <f t="shared" ref="K50:K55" si="29">J50/DoTDurHaunt</f>
        <v>1</v>
      </c>
    </row>
    <row r="51" spans="1:11" s="43" customFormat="1" x14ac:dyDescent="0.25">
      <c r="A51" s="307" t="s">
        <v>215</v>
      </c>
      <c r="B51" s="307"/>
      <c r="C51" s="51">
        <f>CostHaunt*IF($H$1, 1.3, 1)*(1-RCRFire/100)-$F$103</f>
        <v>45</v>
      </c>
      <c r="D51" s="51">
        <f t="shared" si="25"/>
        <v>3.75</v>
      </c>
      <c r="H51" s="13">
        <f t="shared" si="26"/>
        <v>1000</v>
      </c>
      <c r="I51" s="13">
        <f t="shared" si="27"/>
        <v>1578.9473684210527</v>
      </c>
      <c r="J51" s="232">
        <f t="shared" si="28"/>
        <v>12</v>
      </c>
      <c r="K51" s="231">
        <f t="shared" si="29"/>
        <v>1</v>
      </c>
    </row>
    <row r="52" spans="1:11" s="43" customFormat="1" x14ac:dyDescent="0.25">
      <c r="A52" s="307" t="s">
        <v>216</v>
      </c>
      <c r="B52" s="307"/>
      <c r="C52" s="51">
        <f t="shared" si="24"/>
        <v>45</v>
      </c>
      <c r="D52" s="51">
        <f t="shared" si="25"/>
        <v>3.75</v>
      </c>
      <c r="H52" s="13">
        <f t="shared" si="26"/>
        <v>1000</v>
      </c>
      <c r="I52" s="13">
        <f t="shared" si="27"/>
        <v>1578.9473684210527</v>
      </c>
      <c r="J52" s="232">
        <f t="shared" si="28"/>
        <v>12</v>
      </c>
      <c r="K52" s="231">
        <f t="shared" si="29"/>
        <v>1</v>
      </c>
    </row>
    <row r="53" spans="1:11" s="43" customFormat="1" x14ac:dyDescent="0.25">
      <c r="A53" s="307" t="s">
        <v>217</v>
      </c>
      <c r="B53" s="307"/>
      <c r="C53" s="51">
        <f t="shared" si="24"/>
        <v>45</v>
      </c>
      <c r="D53" s="51">
        <f t="shared" si="25"/>
        <v>3.75</v>
      </c>
      <c r="H53" s="13">
        <f t="shared" si="26"/>
        <v>1000</v>
      </c>
      <c r="I53" s="13">
        <f t="shared" si="27"/>
        <v>1578.9473684210527</v>
      </c>
      <c r="J53" s="232">
        <f t="shared" si="28"/>
        <v>12</v>
      </c>
      <c r="K53" s="231">
        <f t="shared" si="29"/>
        <v>1</v>
      </c>
    </row>
    <row r="54" spans="1:11" s="43" customFormat="1" x14ac:dyDescent="0.25">
      <c r="A54" s="307" t="s">
        <v>564</v>
      </c>
      <c r="B54" s="307"/>
      <c r="C54" s="51">
        <f t="shared" si="24"/>
        <v>45</v>
      </c>
      <c r="D54" s="51">
        <f t="shared" si="25"/>
        <v>3.75</v>
      </c>
      <c r="H54" s="13">
        <f t="shared" si="26"/>
        <v>1000</v>
      </c>
      <c r="I54" s="13">
        <f t="shared" si="27"/>
        <v>1578.9473684210527</v>
      </c>
      <c r="J54" s="232">
        <f t="shared" si="28"/>
        <v>12</v>
      </c>
      <c r="K54" s="231">
        <f t="shared" si="29"/>
        <v>1</v>
      </c>
    </row>
    <row r="55" spans="1:11" s="43" customFormat="1" x14ac:dyDescent="0.25">
      <c r="A55" s="307" t="s">
        <v>218</v>
      </c>
      <c r="B55" s="307"/>
      <c r="C55" s="51">
        <f t="shared" si="24"/>
        <v>45</v>
      </c>
      <c r="D55" s="51">
        <f t="shared" si="25"/>
        <v>3.75</v>
      </c>
      <c r="H55" s="13">
        <f t="shared" si="26"/>
        <v>1000</v>
      </c>
      <c r="I55" s="13">
        <f t="shared" si="27"/>
        <v>1578.9473684210527</v>
      </c>
      <c r="J55" s="232">
        <f t="shared" si="28"/>
        <v>12</v>
      </c>
      <c r="K55" s="231">
        <f t="shared" si="29"/>
        <v>1</v>
      </c>
    </row>
    <row r="56" spans="1:11" s="43" customFormat="1" x14ac:dyDescent="0.25"/>
    <row r="57" spans="1:11" s="43" customFormat="1" x14ac:dyDescent="0.25">
      <c r="A57" s="308" t="s">
        <v>222</v>
      </c>
      <c r="B57" s="308"/>
      <c r="C57" s="44" t="s">
        <v>125</v>
      </c>
      <c r="D57" s="221">
        <v>1</v>
      </c>
    </row>
    <row r="58" spans="1:11" s="43" customFormat="1" x14ac:dyDescent="0.25">
      <c r="A58" s="306"/>
      <c r="B58" s="306"/>
      <c r="C58" s="51">
        <f t="shared" ref="C58:C62" si="30">CostLocustSwarm*IF($H$1, 1.3, 1)*(1-$D$2/100)-$F$103</f>
        <v>270</v>
      </c>
      <c r="D58" s="51">
        <f>C58/(IF($K$4, 300, DoTDurLocustSwarm)/IF($K$3, 2, 1))</f>
        <v>33.75</v>
      </c>
      <c r="H58" s="13">
        <f t="shared" ref="H58:H63" si="31">$B$4</f>
        <v>1000</v>
      </c>
      <c r="I58" s="13">
        <f t="shared" ref="I58:I63" si="32">60/ROUNDDOWN(60/1/$B$2, 0)*$B$4</f>
        <v>1578.9473684210527</v>
      </c>
      <c r="J58" s="232">
        <f>ProcLocustSwarm*TRateLocustSwarm*DoTDurLocustSwarm</f>
        <v>2.6666666666666665</v>
      </c>
      <c r="K58" s="231">
        <f>J58/DoTDurLocustSwarm</f>
        <v>0.33333333333333331</v>
      </c>
    </row>
    <row r="59" spans="1:11" s="43" customFormat="1" x14ac:dyDescent="0.25">
      <c r="A59" s="307" t="s">
        <v>223</v>
      </c>
      <c r="B59" s="307"/>
      <c r="C59" s="51">
        <f t="shared" si="30"/>
        <v>270</v>
      </c>
      <c r="D59" s="51">
        <f>C59/(IF($K$4, 300, DoTDurLocustSwarm)/IF($K$3, 2, 1))</f>
        <v>33.75</v>
      </c>
      <c r="H59" s="13">
        <f t="shared" si="31"/>
        <v>1000</v>
      </c>
      <c r="I59" s="13">
        <f t="shared" si="32"/>
        <v>1578.9473684210527</v>
      </c>
      <c r="J59" s="232">
        <f>ProcLocustSwarm*TRateLocustSwarm*DoTDurLocustSwarm</f>
        <v>2.6666666666666665</v>
      </c>
      <c r="K59" s="231">
        <f>J59/DoTDurLocustSwarm</f>
        <v>0.33333333333333331</v>
      </c>
    </row>
    <row r="60" spans="1:11" s="43" customFormat="1" x14ac:dyDescent="0.25">
      <c r="A60" s="307" t="s">
        <v>224</v>
      </c>
      <c r="B60" s="307"/>
      <c r="C60" s="51">
        <f t="shared" si="30"/>
        <v>270</v>
      </c>
      <c r="D60" s="51">
        <f>C60/(IF($K$4, 300, DoTDurLocustSwarm)/IF($K$3, 2, 1))</f>
        <v>33.75</v>
      </c>
      <c r="H60" s="13">
        <f t="shared" si="31"/>
        <v>1000</v>
      </c>
      <c r="I60" s="13">
        <f t="shared" si="32"/>
        <v>1578.9473684210527</v>
      </c>
      <c r="J60" s="232">
        <f>ProcLocustSwarm*TRateLocustSwarm*DoTDurLocustSwarm</f>
        <v>2.6666666666666665</v>
      </c>
      <c r="K60" s="231">
        <f>J60/DoTDurLocustSwarm</f>
        <v>0.33333333333333331</v>
      </c>
    </row>
    <row r="61" spans="1:11" s="43" customFormat="1" x14ac:dyDescent="0.25">
      <c r="A61" s="307" t="s">
        <v>225</v>
      </c>
      <c r="B61" s="307"/>
      <c r="C61" s="51">
        <f t="shared" si="30"/>
        <v>270</v>
      </c>
      <c r="D61" s="51">
        <f>C61/(IF($K$4, 300, DoTDurLocustSwarmCloud)/IF($K$3, 2, 1))</f>
        <v>16.875</v>
      </c>
      <c r="H61" s="13">
        <f t="shared" si="31"/>
        <v>1000</v>
      </c>
      <c r="I61" s="13">
        <f t="shared" si="32"/>
        <v>1578.9473684210527</v>
      </c>
      <c r="J61" s="232">
        <f>ProcLocustSwarm*TRateLocustSwarm*DoTDurLocustSwarmCloud</f>
        <v>5.333333333333333</v>
      </c>
      <c r="K61" s="231">
        <f>J61/DoTDurLocustSwarmCloud</f>
        <v>0.33333333333333331</v>
      </c>
    </row>
    <row r="62" spans="1:11" s="43" customFormat="1" x14ac:dyDescent="0.25">
      <c r="A62" s="307" t="s">
        <v>226</v>
      </c>
      <c r="B62" s="307"/>
      <c r="C62" s="51">
        <f t="shared" si="30"/>
        <v>270</v>
      </c>
      <c r="D62" s="51">
        <f>C62/(IF($K$4, 300, DoTDurLocustSwarm)/IF($K$3, 2, 1))</f>
        <v>33.75</v>
      </c>
      <c r="H62" s="13">
        <f t="shared" si="31"/>
        <v>1000</v>
      </c>
      <c r="I62" s="13">
        <f t="shared" si="32"/>
        <v>1578.9473684210527</v>
      </c>
      <c r="J62" s="232">
        <f>ProcLocustSwarm*TRateLocustSwarm*DoTDurLocustSwarm</f>
        <v>2.6666666666666665</v>
      </c>
      <c r="K62" s="231">
        <f>J62/DoTDurLocustSwarm</f>
        <v>0.33333333333333331</v>
      </c>
    </row>
    <row r="63" spans="1:11" s="43" customFormat="1" x14ac:dyDescent="0.25">
      <c r="A63" s="307" t="s">
        <v>227</v>
      </c>
      <c r="B63" s="307"/>
      <c r="C63" s="51">
        <f>CostLocustSwarm*IF($H$1, 1.3, 1)*(1-RCRFire/100)-$F$103</f>
        <v>270</v>
      </c>
      <c r="D63" s="51">
        <f>C63/(IF($K$4, 300, DoTDurLocustSwarm)/IF($K$3, 2, 1))</f>
        <v>33.75</v>
      </c>
      <c r="H63" s="13">
        <f t="shared" si="31"/>
        <v>1000</v>
      </c>
      <c r="I63" s="13">
        <f t="shared" si="32"/>
        <v>1578.9473684210527</v>
      </c>
      <c r="J63" s="232">
        <f>ProcLocustSwarm*TRateLocustSwarm*DoTDurLocustSwarm</f>
        <v>2.6666666666666665</v>
      </c>
      <c r="K63" s="231">
        <f>J63/DoTDurLocustSwarm</f>
        <v>0.33333333333333331</v>
      </c>
    </row>
    <row r="64" spans="1:11" s="43" customFormat="1" x14ac:dyDescent="0.25"/>
    <row r="65" spans="1:11" s="43" customFormat="1" x14ac:dyDescent="0.25">
      <c r="A65" s="305" t="s">
        <v>175</v>
      </c>
      <c r="B65" s="305"/>
      <c r="C65" s="53" t="s">
        <v>125</v>
      </c>
      <c r="D65" s="221">
        <v>1</v>
      </c>
    </row>
    <row r="66" spans="1:11" s="51" customFormat="1" x14ac:dyDescent="0.25">
      <c r="A66" s="309"/>
      <c r="B66" s="309"/>
      <c r="H66" s="13">
        <f t="shared" ref="H66:H71" si="33">$B$4</f>
        <v>1000</v>
      </c>
      <c r="I66" s="13">
        <f t="shared" ref="I66:I71" si="34">60/ROUNDDOWN(60/1/$B$2, 0)*$B$4</f>
        <v>1578.9473684210527</v>
      </c>
      <c r="J66" s="51">
        <f>ProcPlagueToads*$D$65</f>
        <v>0.66666666666666663</v>
      </c>
      <c r="K66" s="51">
        <f>J66*60/ROUNDDOWN(60/1/$B$2, 0)</f>
        <v>1.0526315789473684</v>
      </c>
    </row>
    <row r="67" spans="1:11" s="43" customFormat="1" x14ac:dyDescent="0.25">
      <c r="A67" s="287" t="s">
        <v>177</v>
      </c>
      <c r="B67" s="287"/>
      <c r="H67" s="13">
        <f t="shared" si="33"/>
        <v>1000</v>
      </c>
      <c r="I67" s="13">
        <f t="shared" si="34"/>
        <v>1578.9473684210527</v>
      </c>
      <c r="J67" s="231">
        <f>ProcPlagueToads*$D$65</f>
        <v>0.66666666666666663</v>
      </c>
      <c r="K67" s="231">
        <f t="shared" ref="K67:K71" si="35">J67*60/ROUNDDOWN(60/1/$B$2, 0)</f>
        <v>1.0526315789473684</v>
      </c>
    </row>
    <row r="68" spans="1:11" s="43" customFormat="1" x14ac:dyDescent="0.25">
      <c r="A68" s="287" t="s">
        <v>178</v>
      </c>
      <c r="B68" s="287"/>
      <c r="H68" s="13">
        <f t="shared" si="33"/>
        <v>1000</v>
      </c>
      <c r="I68" s="13">
        <f t="shared" si="34"/>
        <v>1578.9473684210527</v>
      </c>
      <c r="J68" s="231">
        <f>ProcPlagueToadsPiercing*$D$65</f>
        <v>5</v>
      </c>
      <c r="K68" s="231">
        <f t="shared" si="35"/>
        <v>7.8947368421052628</v>
      </c>
    </row>
    <row r="69" spans="1:11" s="43" customFormat="1" x14ac:dyDescent="0.25">
      <c r="A69" s="287" t="s">
        <v>180</v>
      </c>
      <c r="B69" s="287"/>
      <c r="H69" s="13">
        <f t="shared" si="33"/>
        <v>1000</v>
      </c>
      <c r="I69" s="13">
        <f t="shared" si="34"/>
        <v>1578.9473684210527</v>
      </c>
      <c r="J69" s="231">
        <f>ProcPlagueToadsRain*TRatePlagueToadsRain*DoTDurPlagueToadsRain*$D$65</f>
        <v>1</v>
      </c>
      <c r="K69" s="231">
        <f>J69/DoTDurPlagueToadsRain*60/ROUNDDOWN(60/1/$B$2, 0)</f>
        <v>0.78947368421052633</v>
      </c>
    </row>
    <row r="70" spans="1:11" s="43" customFormat="1" x14ac:dyDescent="0.25">
      <c r="A70" s="287" t="s">
        <v>181</v>
      </c>
      <c r="B70" s="287"/>
      <c r="H70" s="13">
        <f t="shared" si="33"/>
        <v>1000</v>
      </c>
      <c r="I70" s="13">
        <f t="shared" si="34"/>
        <v>1578.9473684210527</v>
      </c>
      <c r="J70" s="231">
        <f>ProcPlagueToads*$D$65</f>
        <v>0.66666666666666663</v>
      </c>
      <c r="K70" s="231">
        <f t="shared" si="35"/>
        <v>1.0526315789473684</v>
      </c>
    </row>
    <row r="71" spans="1:11" s="43" customFormat="1" x14ac:dyDescent="0.25">
      <c r="A71" s="287" t="s">
        <v>183</v>
      </c>
      <c r="B71" s="287"/>
      <c r="H71" s="13">
        <f t="shared" si="33"/>
        <v>1000</v>
      </c>
      <c r="I71" s="13">
        <f t="shared" si="34"/>
        <v>1578.9473684210527</v>
      </c>
      <c r="J71" s="231">
        <f>ProcPlagueToads*$D$65</f>
        <v>0.66666666666666663</v>
      </c>
      <c r="K71" s="231">
        <f t="shared" si="35"/>
        <v>1.0526315789473684</v>
      </c>
    </row>
    <row r="72" spans="1:11" s="51" customFormat="1" x14ac:dyDescent="0.25">
      <c r="H72" s="47"/>
      <c r="I72" s="47"/>
    </row>
    <row r="73" spans="1:11" s="51" customFormat="1" x14ac:dyDescent="0.25">
      <c r="A73" s="305" t="s">
        <v>185</v>
      </c>
      <c r="B73" s="305"/>
      <c r="H73" s="47"/>
      <c r="I73" s="47"/>
    </row>
    <row r="74" spans="1:11" s="51" customFormat="1" x14ac:dyDescent="0.25">
      <c r="A74" s="309"/>
      <c r="B74" s="309"/>
      <c r="H74" s="13">
        <f t="shared" ref="H74:H79" si="36">$B$4</f>
        <v>1000</v>
      </c>
      <c r="I74" s="13">
        <f t="shared" ref="I74:I79" si="37">60/ROUNDDOWN(60/1/$B$2, 0)*$B$4</f>
        <v>1578.9473684210527</v>
      </c>
      <c r="J74" s="51">
        <f>ProcPoisonDart</f>
        <v>1</v>
      </c>
      <c r="K74" s="231">
        <f t="shared" ref="K74:K79" si="38">J74*60/ROUNDDOWN(60/1/$B$2, 0)</f>
        <v>1.5789473684210527</v>
      </c>
    </row>
    <row r="75" spans="1:11" s="51" customFormat="1" x14ac:dyDescent="0.25">
      <c r="A75" s="287" t="s">
        <v>149</v>
      </c>
      <c r="B75" s="287"/>
      <c r="H75" s="13">
        <f t="shared" si="36"/>
        <v>1000</v>
      </c>
      <c r="I75" s="13">
        <f t="shared" si="37"/>
        <v>1578.9473684210527</v>
      </c>
      <c r="J75" s="231">
        <f>ProcPoisonDartSplinters*3</f>
        <v>1</v>
      </c>
      <c r="K75" s="231">
        <f t="shared" si="38"/>
        <v>1.5789473684210527</v>
      </c>
    </row>
    <row r="76" spans="1:11" s="51" customFormat="1" x14ac:dyDescent="0.25">
      <c r="A76" s="287" t="s">
        <v>187</v>
      </c>
      <c r="B76" s="287"/>
      <c r="H76" s="13">
        <f t="shared" si="36"/>
        <v>1000</v>
      </c>
      <c r="I76" s="13">
        <f t="shared" si="37"/>
        <v>1578.9473684210527</v>
      </c>
      <c r="J76" s="231">
        <f>ProcPoisonDart</f>
        <v>1</v>
      </c>
      <c r="K76" s="231">
        <f t="shared" si="38"/>
        <v>1.5789473684210527</v>
      </c>
    </row>
    <row r="77" spans="1:11" s="51" customFormat="1" x14ac:dyDescent="0.25">
      <c r="A77" s="287" t="s">
        <v>189</v>
      </c>
      <c r="B77" s="287"/>
      <c r="H77" s="13">
        <f t="shared" si="36"/>
        <v>1000</v>
      </c>
      <c r="I77" s="13">
        <f t="shared" si="37"/>
        <v>1578.9473684210527</v>
      </c>
      <c r="J77" s="231">
        <f>ProcPoisonDart</f>
        <v>1</v>
      </c>
      <c r="K77" s="231">
        <f t="shared" si="38"/>
        <v>1.5789473684210527</v>
      </c>
    </row>
    <row r="78" spans="1:11" s="51" customFormat="1" x14ac:dyDescent="0.25">
      <c r="A78" s="287" t="s">
        <v>190</v>
      </c>
      <c r="B78" s="287"/>
      <c r="H78" s="13">
        <f t="shared" si="36"/>
        <v>1000</v>
      </c>
      <c r="I78" s="13">
        <f t="shared" si="37"/>
        <v>1578.9473684210527</v>
      </c>
      <c r="J78" s="231">
        <f>ProcPoisonDart</f>
        <v>1</v>
      </c>
      <c r="K78" s="231">
        <f t="shared" si="38"/>
        <v>1.5789473684210527</v>
      </c>
    </row>
    <row r="79" spans="1:11" s="51" customFormat="1" x14ac:dyDescent="0.25">
      <c r="A79" s="287" t="s">
        <v>191</v>
      </c>
      <c r="B79" s="287"/>
      <c r="H79" s="13">
        <f t="shared" si="36"/>
        <v>1000</v>
      </c>
      <c r="I79" s="13">
        <f t="shared" si="37"/>
        <v>1578.9473684210527</v>
      </c>
      <c r="J79" s="231">
        <f>ProcPoisonDart</f>
        <v>1</v>
      </c>
      <c r="K79" s="231">
        <f t="shared" si="38"/>
        <v>1.5789473684210527</v>
      </c>
    </row>
    <row r="80" spans="1:11" s="51" customFormat="1" x14ac:dyDescent="0.25">
      <c r="H80" s="47"/>
      <c r="I80" s="47"/>
    </row>
    <row r="81" spans="1:13" s="43" customFormat="1" x14ac:dyDescent="0.25">
      <c r="A81" s="305" t="s">
        <v>309</v>
      </c>
      <c r="B81" s="305"/>
      <c r="C81" s="44" t="s">
        <v>125</v>
      </c>
      <c r="D81" s="221">
        <v>1</v>
      </c>
    </row>
    <row r="82" spans="1:13" s="43" customFormat="1" x14ac:dyDescent="0.25">
      <c r="A82" s="309"/>
      <c r="B82" s="309"/>
      <c r="C82" s="43">
        <f t="shared" ref="C82:C87" si="39">CostSpiritBarrage*IF($H$1, 1.3, 1)*(1-$D$2/100)-$F$103</f>
        <v>90</v>
      </c>
      <c r="D82" s="43">
        <f>C82*60/ROUNDDOWN(60/1/$B$2, 0)</f>
        <v>142.10526315789474</v>
      </c>
      <c r="E82" s="43">
        <f t="shared" ref="E82:E87" si="40">$H$5-D82</f>
        <v>-82.10526315789474</v>
      </c>
      <c r="F82" s="10">
        <f>IF(E82&lt;0, $D$3/-E82, "-")</f>
        <v>9.134615384615385</v>
      </c>
      <c r="G82" s="14">
        <f>IF(E82&lt;0, F82*60/ROUNDDOWN(60/1/$B$2, 0), "-")</f>
        <v>14.423076923076923</v>
      </c>
      <c r="H82" s="13">
        <f t="shared" ref="H82:H87" si="41">$B$4</f>
        <v>1000</v>
      </c>
      <c r="I82" s="13">
        <f t="shared" ref="I82:I87" si="42">60/ROUNDDOWN(60/1/$B$2, 0)*$B$4</f>
        <v>1578.9473684210527</v>
      </c>
      <c r="J82" s="43">
        <f>ProcSpiritBarrage*4</f>
        <v>1</v>
      </c>
      <c r="K82" s="231">
        <f t="shared" ref="K82:K86" si="43">J82*60/ROUNDDOWN(60/1/$B$2, 0)</f>
        <v>1.5789473684210527</v>
      </c>
    </row>
    <row r="83" spans="1:13" s="43" customFormat="1" x14ac:dyDescent="0.25">
      <c r="A83" s="287" t="s">
        <v>311</v>
      </c>
      <c r="B83" s="287"/>
      <c r="C83" s="43">
        <f t="shared" si="39"/>
        <v>90</v>
      </c>
      <c r="D83" s="43">
        <f t="shared" ref="D83:D87" si="44">C83*60/ROUNDDOWN(60/1/$B$2, 0)</f>
        <v>142.10526315789474</v>
      </c>
      <c r="E83" s="43">
        <f t="shared" si="40"/>
        <v>-82.10526315789474</v>
      </c>
      <c r="F83" s="10">
        <f t="shared" ref="F83:F87" si="45">IF(E83&lt;0, $D$3/-E83, "-")</f>
        <v>9.134615384615385</v>
      </c>
      <c r="G83" s="14">
        <f t="shared" ref="G83:G87" si="46">IF(E83&lt;0, F83*60/ROUNDDOWN(60/1/$B$2, 0), "-")</f>
        <v>14.423076923076923</v>
      </c>
      <c r="H83" s="13">
        <f t="shared" si="41"/>
        <v>1000</v>
      </c>
      <c r="I83" s="13">
        <f t="shared" si="42"/>
        <v>1578.9473684210527</v>
      </c>
      <c r="J83" s="231">
        <f>ProcSpiritBarrage*4</f>
        <v>1</v>
      </c>
      <c r="K83" s="231">
        <f t="shared" si="43"/>
        <v>1.5789473684210527</v>
      </c>
    </row>
    <row r="84" spans="1:13" s="43" customFormat="1" x14ac:dyDescent="0.25">
      <c r="A84" s="287" t="s">
        <v>312</v>
      </c>
      <c r="B84" s="287"/>
      <c r="C84" s="43">
        <f t="shared" si="39"/>
        <v>90</v>
      </c>
      <c r="D84" s="43">
        <f t="shared" si="44"/>
        <v>142.10526315789474</v>
      </c>
      <c r="E84" s="43">
        <f t="shared" si="40"/>
        <v>-82.10526315789474</v>
      </c>
      <c r="F84" s="10">
        <f t="shared" si="45"/>
        <v>9.134615384615385</v>
      </c>
      <c r="G84" s="14">
        <f t="shared" si="46"/>
        <v>14.423076923076923</v>
      </c>
      <c r="H84" s="13">
        <f t="shared" si="41"/>
        <v>1000</v>
      </c>
      <c r="I84" s="13">
        <f t="shared" si="42"/>
        <v>1578.9473684210527</v>
      </c>
      <c r="J84" s="231">
        <f>ProcSpiritBarrageWellSouls*7</f>
        <v>1.1666666666666665</v>
      </c>
      <c r="K84" s="231">
        <f t="shared" si="43"/>
        <v>1.8421052631578945</v>
      </c>
    </row>
    <row r="85" spans="1:13" s="43" customFormat="1" x14ac:dyDescent="0.25">
      <c r="A85" s="287" t="s">
        <v>313</v>
      </c>
      <c r="B85" s="287"/>
      <c r="C85" s="43">
        <f t="shared" si="39"/>
        <v>90</v>
      </c>
      <c r="D85" s="43">
        <f t="shared" si="44"/>
        <v>142.10526315789474</v>
      </c>
      <c r="E85" s="43">
        <f t="shared" si="40"/>
        <v>-82.10526315789474</v>
      </c>
      <c r="F85" s="10">
        <f t="shared" si="45"/>
        <v>9.134615384615385</v>
      </c>
      <c r="G85" s="14">
        <f t="shared" si="46"/>
        <v>14.423076923076923</v>
      </c>
      <c r="H85" s="13">
        <f t="shared" si="41"/>
        <v>1000</v>
      </c>
      <c r="I85" s="13">
        <f t="shared" si="42"/>
        <v>1578.9473684210527</v>
      </c>
      <c r="J85" s="231">
        <f>ProcSpiritBarrage*TRateSpiritBarragePhantasm*DoTDurSpiritBarragePhantasm*M85*D81</f>
        <v>2.5</v>
      </c>
      <c r="K85" s="231">
        <f>J85/DoTDurSpiritBarragePhantasm*60/ROUNDDOWN(60/1/$B$2, 0)</f>
        <v>0.78947368421052633</v>
      </c>
      <c r="L85" s="44" t="s">
        <v>434</v>
      </c>
      <c r="M85" s="46">
        <v>1</v>
      </c>
    </row>
    <row r="86" spans="1:13" s="43" customFormat="1" x14ac:dyDescent="0.25">
      <c r="A86" s="287" t="s">
        <v>314</v>
      </c>
      <c r="B86" s="287"/>
      <c r="C86" s="43">
        <f t="shared" si="39"/>
        <v>90</v>
      </c>
      <c r="D86" s="43">
        <f t="shared" si="44"/>
        <v>142.10526315789474</v>
      </c>
      <c r="E86" s="43">
        <f t="shared" si="40"/>
        <v>-82.10526315789474</v>
      </c>
      <c r="F86" s="10">
        <f t="shared" si="45"/>
        <v>9.134615384615385</v>
      </c>
      <c r="G86" s="14">
        <f t="shared" si="46"/>
        <v>14.423076923076923</v>
      </c>
      <c r="H86" s="13">
        <f t="shared" si="41"/>
        <v>1000</v>
      </c>
      <c r="I86" s="13">
        <f t="shared" si="42"/>
        <v>1578.9473684210527</v>
      </c>
      <c r="J86" s="231">
        <f>ProcSpiritBarrage*4</f>
        <v>1</v>
      </c>
      <c r="K86" s="231">
        <f t="shared" si="43"/>
        <v>1.5789473684210527</v>
      </c>
    </row>
    <row r="87" spans="1:13" s="43" customFormat="1" x14ac:dyDescent="0.25">
      <c r="A87" s="287" t="s">
        <v>315</v>
      </c>
      <c r="B87" s="287"/>
      <c r="C87" s="43">
        <f t="shared" si="39"/>
        <v>90</v>
      </c>
      <c r="D87" s="43">
        <f t="shared" si="44"/>
        <v>142.10526315789474</v>
      </c>
      <c r="E87" s="43">
        <f t="shared" si="40"/>
        <v>-82.10526315789474</v>
      </c>
      <c r="F87" s="10">
        <f t="shared" si="45"/>
        <v>9.134615384615385</v>
      </c>
      <c r="G87" s="14">
        <f t="shared" si="46"/>
        <v>14.423076923076923</v>
      </c>
      <c r="H87" s="13">
        <f t="shared" si="41"/>
        <v>1000</v>
      </c>
      <c r="I87" s="13">
        <f t="shared" si="42"/>
        <v>1578.9473684210527</v>
      </c>
      <c r="J87" s="231">
        <f>ProcSpiritBarrageManitou*TRateSpiritBarrageManitou*DoTDurSpiritBarrageManitou*D81</f>
        <v>1.2</v>
      </c>
      <c r="K87" s="231">
        <f>J87/DoTDurSpiritBarrageManitou</f>
        <v>0.06</v>
      </c>
    </row>
    <row r="88" spans="1:13" s="51" customFormat="1" x14ac:dyDescent="0.25"/>
    <row r="89" spans="1:13" s="51" customFormat="1" x14ac:dyDescent="0.25">
      <c r="A89" s="305" t="s">
        <v>247</v>
      </c>
      <c r="B89" s="305"/>
      <c r="C89" s="53" t="s">
        <v>125</v>
      </c>
      <c r="D89" s="221">
        <v>1</v>
      </c>
    </row>
    <row r="90" spans="1:13" s="51" customFormat="1" x14ac:dyDescent="0.25">
      <c r="A90" s="287" t="s">
        <v>254</v>
      </c>
      <c r="B90" s="287"/>
      <c r="H90" s="13">
        <f>$B$4</f>
        <v>1000</v>
      </c>
      <c r="I90" s="13">
        <f>60/ROUNDDOWN(60/1/$B$2, 0)*$B$4</f>
        <v>1578.9473684210527</v>
      </c>
      <c r="J90" s="51">
        <f>ProcSWUmbralShock*$D$89</f>
        <v>0.33333333333333331</v>
      </c>
      <c r="K90" s="51">
        <f>J90/INDEX(Reductions!$B$28:'Reductions'!$J$29,2,MATCH(CDSW,Reductions!$B$28:'Reductions'!$J$28,0))</f>
        <v>3.0864197530864192E-2</v>
      </c>
    </row>
    <row r="91" spans="1:13" s="51" customFormat="1" x14ac:dyDescent="0.25"/>
    <row r="92" spans="1:13" s="51" customFormat="1" x14ac:dyDescent="0.25">
      <c r="A92" s="305" t="s">
        <v>269</v>
      </c>
      <c r="B92" s="305"/>
      <c r="C92" s="53" t="s">
        <v>125</v>
      </c>
      <c r="D92" s="221">
        <v>1</v>
      </c>
    </row>
    <row r="93" spans="1:13" s="51" customFormat="1" x14ac:dyDescent="0.25">
      <c r="A93" s="287" t="s">
        <v>274</v>
      </c>
      <c r="B93" s="287"/>
      <c r="H93" s="13">
        <f>$B$4</f>
        <v>1000</v>
      </c>
      <c r="I93" s="13">
        <f>60/ROUNDDOWN(60/1/$B$2, 0)*$B$4</f>
        <v>1578.9473684210527</v>
      </c>
      <c r="J93" s="51">
        <f>ProcSoulHarvestVengeful*D92</f>
        <v>0.25</v>
      </c>
      <c r="K93" s="51">
        <f>J93/INDEX(Reductions!$B$28:'Reductions'!$J$29,2,MATCH(CDSoulHarvest,Reductions!$B$28:'Reductions'!$J$28,0))</f>
        <v>1.8518518518518517E-2</v>
      </c>
    </row>
    <row r="94" spans="1:13" s="51" customFormat="1" x14ac:dyDescent="0.25"/>
    <row r="95" spans="1:13" s="51" customFormat="1" x14ac:dyDescent="0.25">
      <c r="A95" s="305" t="s">
        <v>330</v>
      </c>
      <c r="B95" s="305"/>
      <c r="C95" s="53" t="s">
        <v>125</v>
      </c>
      <c r="D95" s="221">
        <v>1</v>
      </c>
    </row>
    <row r="96" spans="1:13" s="51" customFormat="1" x14ac:dyDescent="0.25">
      <c r="A96" s="309"/>
      <c r="B96" s="309"/>
      <c r="H96" s="13">
        <f t="shared" ref="H96:H101" si="47">$B$4</f>
        <v>1000</v>
      </c>
      <c r="I96" s="13">
        <f t="shared" ref="I96:I101" si="48">60/ROUNDDOWN(60/1/$B$2, 0)*$B$4</f>
        <v>1578.9473684210527</v>
      </c>
      <c r="J96" s="51">
        <f>ProcWoZ*TRateWoZ*DoTDurWoZ*$D$95</f>
        <v>0.64</v>
      </c>
      <c r="K96" s="51">
        <f>J96/INDEX(Reductions!$B$28:'Reductions'!$J$29,2,MATCH(CDWoZ,Reductions!$B$28:'Reductions'!$J$28,0))</f>
        <v>8.8888888888888892E-2</v>
      </c>
    </row>
    <row r="97" spans="1:11" s="51" customFormat="1" x14ac:dyDescent="0.25">
      <c r="A97" s="287" t="s">
        <v>332</v>
      </c>
      <c r="B97" s="287"/>
      <c r="H97" s="13">
        <f t="shared" si="47"/>
        <v>1000</v>
      </c>
      <c r="I97" s="13">
        <f t="shared" si="48"/>
        <v>1578.9473684210527</v>
      </c>
      <c r="J97" s="231">
        <f>ProcWoZBarricade*TRateWoZ*DoTDurWoZ*$D$95</f>
        <v>0.56000000000000005</v>
      </c>
      <c r="K97" s="231">
        <f>J97/INDEX(Reductions!$B$28:'Reductions'!$J$29,2,MATCH(CDWoZ,Reductions!$B$28:'Reductions'!$J$28,0))</f>
        <v>7.7777777777777779E-2</v>
      </c>
    </row>
    <row r="98" spans="1:11" s="51" customFormat="1" x14ac:dyDescent="0.25">
      <c r="A98" s="287" t="s">
        <v>333</v>
      </c>
      <c r="B98" s="287"/>
      <c r="H98" s="13">
        <f t="shared" si="47"/>
        <v>1000</v>
      </c>
      <c r="I98" s="13">
        <f t="shared" si="48"/>
        <v>1578.9473684210527</v>
      </c>
      <c r="J98" s="231">
        <f>ProcWoZUnrelenting*TRateWoZ*DoTDurWoZ*$D$95</f>
        <v>0.48</v>
      </c>
      <c r="K98" s="231">
        <f>J98/INDEX(Reductions!$B$28:'Reductions'!$J$29,2,MATCH(CDWoZ,Reductions!$B$28:'Reductions'!$J$28,0))</f>
        <v>6.6666666666666666E-2</v>
      </c>
    </row>
    <row r="99" spans="1:11" s="51" customFormat="1" x14ac:dyDescent="0.25">
      <c r="A99" s="287" t="s">
        <v>334</v>
      </c>
      <c r="B99" s="287"/>
      <c r="H99" s="13">
        <f t="shared" si="47"/>
        <v>1000</v>
      </c>
      <c r="I99" s="13">
        <f t="shared" si="48"/>
        <v>1578.9473684210527</v>
      </c>
      <c r="J99" s="231">
        <f>ProcWoZCreepers*TRateWoZ*DoTDurWoZ*$D$95</f>
        <v>0.4</v>
      </c>
      <c r="K99" s="231">
        <f>J99/INDEX(Reductions!$B$28:'Reductions'!$J$29,2,MATCH(CDWoZ,Reductions!$B$28:'Reductions'!$J$28,0))</f>
        <v>5.5555555555555559E-2</v>
      </c>
    </row>
    <row r="100" spans="1:11" s="51" customFormat="1" x14ac:dyDescent="0.25">
      <c r="A100" s="287" t="s">
        <v>335</v>
      </c>
      <c r="B100" s="287"/>
      <c r="H100" s="13">
        <f t="shared" si="47"/>
        <v>1000</v>
      </c>
      <c r="I100" s="13">
        <f t="shared" si="48"/>
        <v>1578.9473684210527</v>
      </c>
      <c r="J100" s="231">
        <f>ProcWoZWreckingCrew*TRateWoZ*DoTDurWoZ*$D$95</f>
        <v>0.24</v>
      </c>
      <c r="K100" s="231">
        <f>J100/INDEX(Reductions!$B$28:'Reductions'!$J$29,2,MATCH(CDWoZ,Reductions!$B$28:'Reductions'!$J$28,0))</f>
        <v>3.3333333333333333E-2</v>
      </c>
    </row>
    <row r="101" spans="1:11" s="51" customFormat="1" x14ac:dyDescent="0.25">
      <c r="A101" s="287" t="s">
        <v>336</v>
      </c>
      <c r="B101" s="287"/>
      <c r="H101" s="13">
        <f t="shared" si="47"/>
        <v>1000</v>
      </c>
      <c r="I101" s="13">
        <f t="shared" si="48"/>
        <v>1578.9473684210527</v>
      </c>
      <c r="J101" s="231">
        <f>ProcWoZOffensiveLine*TRateWoZ*DoTDurWoZ*$D$95</f>
        <v>0.26666666666666666</v>
      </c>
      <c r="K101" s="231">
        <f>J101/INDEX(Reductions!$B$28:'Reductions'!$J$29,2,MATCH(CDWoZ,Reductions!$B$28:'Reductions'!$J$28,0))</f>
        <v>3.7037037037037035E-2</v>
      </c>
    </row>
    <row r="102" spans="1:11" s="51" customFormat="1" x14ac:dyDescent="0.25"/>
    <row r="103" spans="1:11" x14ac:dyDescent="0.25">
      <c r="A103" s="305" t="s">
        <v>300</v>
      </c>
      <c r="B103" s="305"/>
      <c r="C103" s="41" t="s">
        <v>125</v>
      </c>
      <c r="D103" s="221">
        <v>1</v>
      </c>
      <c r="E103" s="41" t="s">
        <v>393</v>
      </c>
      <c r="F103" s="221">
        <v>0</v>
      </c>
      <c r="H103" s="5" t="s">
        <v>380</v>
      </c>
      <c r="I103" s="221">
        <v>1.5</v>
      </c>
    </row>
    <row r="104" spans="1:11" s="40" customFormat="1" x14ac:dyDescent="0.25">
      <c r="A104" s="309"/>
      <c r="B104" s="309"/>
      <c r="C104" s="40">
        <f t="shared" ref="C104:C109" si="49">CostZCharger*IF($H$1, 1.3, 1)*(1-$D$2/100)-$F$103</f>
        <v>135</v>
      </c>
      <c r="D104" s="40">
        <f>C104*60/ROUNDDOWN(60/1/$B$2, 0)</f>
        <v>213.15789473684211</v>
      </c>
      <c r="E104" s="40">
        <f t="shared" ref="E104:E109" si="50">$H$5-D104</f>
        <v>-153.15789473684211</v>
      </c>
      <c r="F104" s="10">
        <f>IF(E104&lt;0, $D$3/-E104, "-")</f>
        <v>4.8969072164948448</v>
      </c>
      <c r="G104" s="14">
        <f>IF(E104&lt;0, F104*60/ROUNDDOWN(60/1/$B$2, 0), "-")</f>
        <v>7.731958762886598</v>
      </c>
      <c r="H104" s="13">
        <f t="shared" ref="H104:H109" si="51">$B$4</f>
        <v>1000</v>
      </c>
      <c r="I104" s="13">
        <f t="shared" ref="I104:I109" si="52">60/ROUNDDOWN(60/1/$B$2, 0)*$B$4</f>
        <v>1578.9473684210527</v>
      </c>
      <c r="J104" s="40">
        <f>ProcZCharger*$D$103</f>
        <v>0.5</v>
      </c>
      <c r="K104" s="231">
        <f t="shared" ref="K104:K109" si="53">J104*60/ROUNDDOWN(60/1/$B$2, 0)</f>
        <v>0.78947368421052633</v>
      </c>
    </row>
    <row r="105" spans="1:11" x14ac:dyDescent="0.25">
      <c r="A105" s="287" t="s">
        <v>301</v>
      </c>
      <c r="B105" s="287"/>
      <c r="C105" s="40">
        <f t="shared" si="49"/>
        <v>135</v>
      </c>
      <c r="D105" s="40">
        <f t="shared" ref="D105:D109" si="54">C105*60/ROUNDDOWN(60/1/$B$2, 0)</f>
        <v>213.15789473684211</v>
      </c>
      <c r="E105" s="40">
        <f t="shared" si="50"/>
        <v>-153.15789473684211</v>
      </c>
      <c r="F105" s="10">
        <f t="shared" ref="F105:F109" si="55">IF(E105&lt;0, $D$3/-E105, "-")</f>
        <v>4.8969072164948448</v>
      </c>
      <c r="G105" s="14">
        <f t="shared" ref="G105:G109" si="56">IF(E105&lt;0, F105*60/ROUNDDOWN(60/1/$B$2, 0), "-")</f>
        <v>7.731958762886598</v>
      </c>
      <c r="H105" s="13">
        <f t="shared" si="51"/>
        <v>1000</v>
      </c>
      <c r="I105" s="13">
        <f t="shared" si="52"/>
        <v>1578.9473684210527</v>
      </c>
      <c r="J105" s="231">
        <f>ProcZCharger*$D$103</f>
        <v>0.5</v>
      </c>
      <c r="K105" s="231">
        <f t="shared" si="53"/>
        <v>0.78947368421052633</v>
      </c>
    </row>
    <row r="106" spans="1:11" x14ac:dyDescent="0.25">
      <c r="A106" s="287" t="s">
        <v>302</v>
      </c>
      <c r="B106" s="287"/>
      <c r="C106" s="40">
        <f t="shared" si="49"/>
        <v>135</v>
      </c>
      <c r="D106" s="40">
        <f t="shared" si="54"/>
        <v>213.15789473684211</v>
      </c>
      <c r="E106" s="40">
        <f t="shared" si="50"/>
        <v>-153.15789473684211</v>
      </c>
      <c r="F106" s="10">
        <f t="shared" si="55"/>
        <v>4.8969072164948448</v>
      </c>
      <c r="G106" s="14">
        <f t="shared" si="56"/>
        <v>7.731958762886598</v>
      </c>
      <c r="H106" s="13">
        <f t="shared" si="51"/>
        <v>1000</v>
      </c>
      <c r="I106" s="13">
        <f t="shared" si="52"/>
        <v>1578.9473684210527</v>
      </c>
      <c r="J106" s="231">
        <f>ProcZCharger*$D$103</f>
        <v>0.5</v>
      </c>
      <c r="K106" s="231">
        <f t="shared" si="53"/>
        <v>0.78947368421052633</v>
      </c>
    </row>
    <row r="107" spans="1:11" x14ac:dyDescent="0.25">
      <c r="A107" s="287" t="s">
        <v>303</v>
      </c>
      <c r="B107" s="287"/>
      <c r="C107" s="40">
        <f t="shared" si="49"/>
        <v>135</v>
      </c>
      <c r="D107" s="40">
        <f t="shared" si="54"/>
        <v>213.15789473684211</v>
      </c>
      <c r="E107" s="40">
        <f t="shared" si="50"/>
        <v>-153.15789473684211</v>
      </c>
      <c r="F107" s="10">
        <f t="shared" si="55"/>
        <v>4.8969072164948448</v>
      </c>
      <c r="G107" s="14">
        <f t="shared" si="56"/>
        <v>7.731958762886598</v>
      </c>
      <c r="H107" s="13">
        <f t="shared" si="51"/>
        <v>1000</v>
      </c>
      <c r="I107" s="13">
        <f t="shared" si="52"/>
        <v>1578.9473684210527</v>
      </c>
      <c r="J107" s="231">
        <f>ProcZChargerLumberingCold*$D$103</f>
        <v>0.33333333333333331</v>
      </c>
      <c r="K107" s="231">
        <f t="shared" si="53"/>
        <v>0.52631578947368418</v>
      </c>
    </row>
    <row r="108" spans="1:11" x14ac:dyDescent="0.25">
      <c r="A108" s="287" t="s">
        <v>304</v>
      </c>
      <c r="B108" s="287"/>
      <c r="C108" s="40">
        <f>CostZCharger*IF($H$1, 1.3, 1)*(1-RCRFire/100)-$F$103</f>
        <v>135</v>
      </c>
      <c r="D108" s="40">
        <f t="shared" si="54"/>
        <v>213.15789473684211</v>
      </c>
      <c r="E108" s="40">
        <f t="shared" si="50"/>
        <v>-153.15789473684211</v>
      </c>
      <c r="F108" s="10">
        <f t="shared" si="55"/>
        <v>4.8969072164948448</v>
      </c>
      <c r="G108" s="14">
        <f t="shared" si="56"/>
        <v>7.731958762886598</v>
      </c>
      <c r="H108" s="13">
        <f t="shared" si="51"/>
        <v>1000</v>
      </c>
      <c r="I108" s="13">
        <f t="shared" si="52"/>
        <v>1578.9473684210527</v>
      </c>
      <c r="J108" s="231">
        <f>ProcZCharger*$D$103</f>
        <v>0.5</v>
      </c>
      <c r="K108" s="231">
        <f t="shared" si="53"/>
        <v>0.78947368421052633</v>
      </c>
    </row>
    <row r="109" spans="1:11" x14ac:dyDescent="0.25">
      <c r="A109" s="287" t="s">
        <v>305</v>
      </c>
      <c r="B109" s="287"/>
      <c r="C109" s="40">
        <f t="shared" si="49"/>
        <v>135</v>
      </c>
      <c r="D109" s="40">
        <f t="shared" si="54"/>
        <v>213.15789473684211</v>
      </c>
      <c r="E109" s="40">
        <f t="shared" si="50"/>
        <v>-153.15789473684211</v>
      </c>
      <c r="F109" s="10">
        <f t="shared" si="55"/>
        <v>4.8969072164948448</v>
      </c>
      <c r="G109" s="14">
        <f t="shared" si="56"/>
        <v>7.731958762886598</v>
      </c>
      <c r="H109" s="13">
        <f t="shared" si="51"/>
        <v>1000</v>
      </c>
      <c r="I109" s="13">
        <f t="shared" si="52"/>
        <v>1578.9473684210527</v>
      </c>
      <c r="J109" s="231">
        <f>ProcZChargerBears*$D$103*I103</f>
        <v>0.16666666666666666</v>
      </c>
      <c r="K109" s="231">
        <f t="shared" si="53"/>
        <v>0.26315789473684209</v>
      </c>
    </row>
  </sheetData>
  <mergeCells count="93">
    <mergeCell ref="A97:B97"/>
    <mergeCell ref="A98:B98"/>
    <mergeCell ref="A99:B99"/>
    <mergeCell ref="A100:B100"/>
    <mergeCell ref="A101:B101"/>
    <mergeCell ref="A90:B90"/>
    <mergeCell ref="A92:B92"/>
    <mergeCell ref="A93:B93"/>
    <mergeCell ref="A95:B95"/>
    <mergeCell ref="A96:B96"/>
    <mergeCell ref="A89:B89"/>
    <mergeCell ref="A78:B78"/>
    <mergeCell ref="A79:B79"/>
    <mergeCell ref="F1:G1"/>
    <mergeCell ref="F2:G2"/>
    <mergeCell ref="F3:G3"/>
    <mergeCell ref="F5:G5"/>
    <mergeCell ref="A65:B65"/>
    <mergeCell ref="A43:B43"/>
    <mergeCell ref="A44:B44"/>
    <mergeCell ref="A45:B45"/>
    <mergeCell ref="A46:B46"/>
    <mergeCell ref="A47:B47"/>
    <mergeCell ref="A49:B49"/>
    <mergeCell ref="A50:B50"/>
    <mergeCell ref="A51:B51"/>
    <mergeCell ref="A105:B105"/>
    <mergeCell ref="A106:B106"/>
    <mergeCell ref="A107:B107"/>
    <mergeCell ref="A108:B108"/>
    <mergeCell ref="A109:B109"/>
    <mergeCell ref="A103:B103"/>
    <mergeCell ref="A26:B26"/>
    <mergeCell ref="A27:B27"/>
    <mergeCell ref="A28:B28"/>
    <mergeCell ref="A29:B29"/>
    <mergeCell ref="A30:B30"/>
    <mergeCell ref="A31:B31"/>
    <mergeCell ref="A33:B33"/>
    <mergeCell ref="A34:B34"/>
    <mergeCell ref="A35:B35"/>
    <mergeCell ref="A36:B36"/>
    <mergeCell ref="A37:B37"/>
    <mergeCell ref="A38:B38"/>
    <mergeCell ref="A39:B39"/>
    <mergeCell ref="A41:B41"/>
    <mergeCell ref="A42:B42"/>
    <mergeCell ref="A104:B104"/>
    <mergeCell ref="A9:B9"/>
    <mergeCell ref="A10:B10"/>
    <mergeCell ref="A11:B11"/>
    <mergeCell ref="A12:B12"/>
    <mergeCell ref="A13:B13"/>
    <mergeCell ref="A14:B14"/>
    <mergeCell ref="A15:B15"/>
    <mergeCell ref="A17:B17"/>
    <mergeCell ref="A18:B18"/>
    <mergeCell ref="A19:B19"/>
    <mergeCell ref="A20:B20"/>
    <mergeCell ref="A21:B21"/>
    <mergeCell ref="A22:B22"/>
    <mergeCell ref="A23:B23"/>
    <mergeCell ref="A25:B25"/>
    <mergeCell ref="A87:B87"/>
    <mergeCell ref="A63:B63"/>
    <mergeCell ref="A81:B81"/>
    <mergeCell ref="A82:B82"/>
    <mergeCell ref="A66:B66"/>
    <mergeCell ref="A67:B67"/>
    <mergeCell ref="A68:B68"/>
    <mergeCell ref="A69:B69"/>
    <mergeCell ref="A70:B70"/>
    <mergeCell ref="A71:B71"/>
    <mergeCell ref="A73:B73"/>
    <mergeCell ref="A74:B74"/>
    <mergeCell ref="A75:B75"/>
    <mergeCell ref="A76:B76"/>
    <mergeCell ref="A77:B77"/>
    <mergeCell ref="F4:G4"/>
    <mergeCell ref="A83:B83"/>
    <mergeCell ref="A84:B84"/>
    <mergeCell ref="A85:B85"/>
    <mergeCell ref="A86:B86"/>
    <mergeCell ref="A58:B58"/>
    <mergeCell ref="A59:B59"/>
    <mergeCell ref="A60:B60"/>
    <mergeCell ref="A61:B61"/>
    <mergeCell ref="A62:B62"/>
    <mergeCell ref="A52:B52"/>
    <mergeCell ref="A53:B53"/>
    <mergeCell ref="A54:B54"/>
    <mergeCell ref="A55:B55"/>
    <mergeCell ref="A57:B57"/>
  </mergeCells>
  <conditionalFormatting sqref="E104:E109">
    <cfRule type="cellIs" dxfId="13" priority="9" operator="greaterThan">
      <formula>0</formula>
    </cfRule>
    <cfRule type="cellIs" dxfId="12" priority="10" operator="lessThan">
      <formula>0</formula>
    </cfRule>
  </conditionalFormatting>
  <conditionalFormatting sqref="E10:E15">
    <cfRule type="cellIs" dxfId="11" priority="7" operator="greaterThan">
      <formula>0</formula>
    </cfRule>
    <cfRule type="cellIs" dxfId="10" priority="8" operator="lessThan">
      <formula>0</formula>
    </cfRule>
  </conditionalFormatting>
  <conditionalFormatting sqref="E18">
    <cfRule type="cellIs" dxfId="9" priority="5" operator="greaterThan">
      <formula>0</formula>
    </cfRule>
    <cfRule type="cellIs" dxfId="8" priority="6" operator="lessThan">
      <formula>0</formula>
    </cfRule>
  </conditionalFormatting>
  <conditionalFormatting sqref="E26:E31">
    <cfRule type="cellIs" dxfId="7" priority="3" operator="greaterThan">
      <formula>0</formula>
    </cfRule>
    <cfRule type="cellIs" dxfId="6" priority="4" operator="lessThan">
      <formula>0</formula>
    </cfRule>
  </conditionalFormatting>
  <conditionalFormatting sqref="E82:E87">
    <cfRule type="cellIs" dxfId="5" priority="1" operator="greaterThan">
      <formula>0</formula>
    </cfRule>
    <cfRule type="cellIs" dxfId="4" priority="2" operator="lessThan">
      <formula>0</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
                <anchor moveWithCells="1">
                  <from>
                    <xdr:col>7</xdr:col>
                    <xdr:colOff>9525</xdr:colOff>
                    <xdr:row>0</xdr:row>
                    <xdr:rowOff>0</xdr:rowOff>
                  </from>
                  <to>
                    <xdr:col>7</xdr:col>
                    <xdr:colOff>676275</xdr:colOff>
                    <xdr:row>1</xdr:row>
                    <xdr:rowOff>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10</xdr:col>
                    <xdr:colOff>9525</xdr:colOff>
                    <xdr:row>2</xdr:row>
                    <xdr:rowOff>9525</xdr:rowOff>
                  </from>
                  <to>
                    <xdr:col>10</xdr:col>
                    <xdr:colOff>600075</xdr:colOff>
                    <xdr:row>2</xdr:row>
                    <xdr:rowOff>180975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10</xdr:col>
                    <xdr:colOff>9525</xdr:colOff>
                    <xdr:row>1</xdr:row>
                    <xdr:rowOff>9525</xdr:rowOff>
                  </from>
                  <to>
                    <xdr:col>10</xdr:col>
                    <xdr:colOff>600075</xdr:colOff>
                    <xdr:row>2</xdr:row>
                    <xdr:rowOff>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10</xdr:col>
                    <xdr:colOff>9525</xdr:colOff>
                    <xdr:row>3</xdr:row>
                    <xdr:rowOff>9525</xdr:rowOff>
                  </from>
                  <to>
                    <xdr:col>10</xdr:col>
                    <xdr:colOff>600075</xdr:colOff>
                    <xdr:row>3</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heetViews>
  <sheetFormatPr defaultRowHeight="15" x14ac:dyDescent="0.25"/>
  <cols>
    <col min="1" max="1" width="10.28515625" bestFit="1" customWidth="1"/>
    <col min="2" max="3" width="10.42578125" bestFit="1" customWidth="1"/>
    <col min="4" max="4" width="10.28515625" bestFit="1" customWidth="1"/>
    <col min="5" max="5" width="9.7109375" bestFit="1" customWidth="1"/>
    <col min="6" max="6" width="10.85546875" bestFit="1" customWidth="1"/>
    <col min="7" max="7" width="16.5703125" bestFit="1" customWidth="1"/>
  </cols>
  <sheetData>
    <row r="1" spans="1:9" x14ac:dyDescent="0.25">
      <c r="A1" s="51"/>
      <c r="B1" s="51"/>
      <c r="C1" s="51"/>
      <c r="D1" s="51"/>
      <c r="E1" s="51"/>
      <c r="F1" s="51"/>
      <c r="G1" s="51"/>
      <c r="H1" s="51"/>
      <c r="I1" s="51"/>
    </row>
    <row r="2" spans="1:9" x14ac:dyDescent="0.25">
      <c r="A2" s="51"/>
      <c r="B2" s="51"/>
      <c r="C2" s="52" t="s">
        <v>2</v>
      </c>
      <c r="D2" s="52" t="s">
        <v>440</v>
      </c>
      <c r="E2" s="52" t="s">
        <v>441</v>
      </c>
      <c r="F2" s="51"/>
      <c r="G2" s="51"/>
      <c r="H2" s="51"/>
      <c r="I2" s="51"/>
    </row>
    <row r="3" spans="1:9" x14ac:dyDescent="0.25">
      <c r="A3" s="314" t="s">
        <v>442</v>
      </c>
      <c r="B3" s="314"/>
      <c r="C3" s="3">
        <f>CSArmorBase+CSSTR+CSDEX</f>
        <v>6000</v>
      </c>
      <c r="D3" s="144">
        <v>25</v>
      </c>
      <c r="E3" s="51">
        <f>C3*(1+D3/100)</f>
        <v>7500</v>
      </c>
      <c r="F3" s="51"/>
      <c r="G3" s="51"/>
      <c r="H3" s="51"/>
      <c r="I3" s="51"/>
    </row>
    <row r="4" spans="1:9" x14ac:dyDescent="0.25">
      <c r="A4" s="314" t="s">
        <v>443</v>
      </c>
      <c r="B4" s="314"/>
      <c r="C4" s="3">
        <f>CSResAll</f>
        <v>1500</v>
      </c>
      <c r="D4" s="144">
        <v>0</v>
      </c>
      <c r="E4" s="51">
        <f>C4*(1+D4/100)</f>
        <v>1500</v>
      </c>
      <c r="F4" s="51"/>
      <c r="G4" s="306"/>
      <c r="H4" s="306"/>
      <c r="I4" s="56"/>
    </row>
    <row r="5" spans="1:9" x14ac:dyDescent="0.25">
      <c r="A5" s="314" t="s">
        <v>669</v>
      </c>
      <c r="B5" s="314"/>
      <c r="C5" s="3">
        <f>CSDR</f>
        <v>0</v>
      </c>
      <c r="D5" s="144">
        <v>0</v>
      </c>
      <c r="E5" s="276">
        <f>(1-(1-C5/100)*(1-D5/100))*100</f>
        <v>0</v>
      </c>
      <c r="F5" s="51"/>
      <c r="G5" s="55"/>
      <c r="H5" s="55"/>
      <c r="I5" s="55"/>
    </row>
    <row r="6" spans="1:9" s="276" customFormat="1" x14ac:dyDescent="0.25">
      <c r="A6" s="314" t="s">
        <v>670</v>
      </c>
      <c r="B6" s="314"/>
      <c r="C6" s="3">
        <f>'Sheet Stats'!C14</f>
        <v>0</v>
      </c>
      <c r="D6" s="144">
        <v>0</v>
      </c>
      <c r="E6" s="276">
        <f t="shared" ref="E6:E9" si="0">(1-(1-C6/100)*(1-D6/100))*100</f>
        <v>0</v>
      </c>
      <c r="G6" s="277"/>
      <c r="H6" s="277"/>
      <c r="I6" s="277"/>
    </row>
    <row r="7" spans="1:9" s="276" customFormat="1" x14ac:dyDescent="0.25">
      <c r="A7" s="314" t="s">
        <v>673</v>
      </c>
      <c r="B7" s="314"/>
      <c r="C7" s="3">
        <f>'Sheet Stats'!C15</f>
        <v>0</v>
      </c>
      <c r="D7" s="144">
        <v>0</v>
      </c>
      <c r="E7" s="276">
        <f t="shared" si="0"/>
        <v>0</v>
      </c>
      <c r="G7" s="277"/>
      <c r="H7" s="277"/>
      <c r="I7" s="277"/>
    </row>
    <row r="8" spans="1:9" s="276" customFormat="1" x14ac:dyDescent="0.25">
      <c r="A8" s="314" t="s">
        <v>671</v>
      </c>
      <c r="B8" s="314"/>
      <c r="C8" s="3">
        <f>'Sheet Stats'!C16</f>
        <v>0</v>
      </c>
      <c r="D8" s="144">
        <v>0</v>
      </c>
      <c r="E8" s="276">
        <f t="shared" si="0"/>
        <v>0</v>
      </c>
      <c r="G8" s="277"/>
      <c r="H8" s="277"/>
      <c r="I8" s="277"/>
    </row>
    <row r="9" spans="1:9" s="276" customFormat="1" x14ac:dyDescent="0.25">
      <c r="A9" s="314" t="s">
        <v>674</v>
      </c>
      <c r="B9" s="314"/>
      <c r="C9" s="3">
        <f>'Sheet Stats'!C17</f>
        <v>0</v>
      </c>
      <c r="D9" s="144">
        <v>0</v>
      </c>
      <c r="E9" s="276">
        <f t="shared" si="0"/>
        <v>0</v>
      </c>
      <c r="G9" s="277"/>
      <c r="H9" s="277"/>
      <c r="I9" s="277"/>
    </row>
    <row r="10" spans="1:9" x14ac:dyDescent="0.25">
      <c r="A10" s="315" t="s">
        <v>444</v>
      </c>
      <c r="B10" s="315"/>
      <c r="C10" s="146">
        <v>70</v>
      </c>
      <c r="D10" s="6"/>
      <c r="E10" s="6"/>
      <c r="F10" s="51"/>
      <c r="G10" s="55"/>
      <c r="H10" s="55"/>
      <c r="I10" s="56"/>
    </row>
    <row r="11" spans="1:9" x14ac:dyDescent="0.25">
      <c r="A11" s="316" t="s">
        <v>445</v>
      </c>
      <c r="B11" s="316"/>
      <c r="C11" s="57">
        <f>1-((1-$E$3/(50*$C$10+$E$3))*((1-$E$4/(5*$C$10+$E$4))*(1-$E$9/6*5/100)*(1-$E$5/100)*(1-$E$6/3/100))*(1-$E$7/3/100)*(1-$E$8/3/100))</f>
        <v>0.93980343980343983</v>
      </c>
      <c r="D11" s="276"/>
      <c r="E11" s="276"/>
      <c r="F11" s="51"/>
      <c r="G11" s="55"/>
      <c r="H11" s="69"/>
      <c r="I11" s="69"/>
    </row>
    <row r="12" spans="1:9" x14ac:dyDescent="0.25">
      <c r="A12" s="313" t="s">
        <v>446</v>
      </c>
      <c r="B12" s="313"/>
      <c r="C12" s="59">
        <f>1/(1-$C$11)</f>
        <v>16.61224489795919</v>
      </c>
      <c r="D12" s="51"/>
      <c r="E12" s="51"/>
      <c r="F12" s="51"/>
      <c r="G12" s="55"/>
      <c r="H12" s="69"/>
      <c r="I12" s="69"/>
    </row>
    <row r="13" spans="1:9" x14ac:dyDescent="0.25">
      <c r="A13" s="51"/>
      <c r="B13" s="51"/>
      <c r="C13" s="51"/>
      <c r="D13" s="51"/>
      <c r="E13" s="51"/>
      <c r="F13" s="51"/>
      <c r="G13" s="55"/>
      <c r="H13" s="69"/>
      <c r="I13" s="69"/>
    </row>
    <row r="14" spans="1:9" x14ac:dyDescent="0.25">
      <c r="A14" s="51"/>
      <c r="B14" s="51"/>
      <c r="C14" s="54" t="s">
        <v>447</v>
      </c>
      <c r="D14" s="51"/>
      <c r="E14" s="51"/>
      <c r="F14" s="51"/>
      <c r="G14" s="55"/>
      <c r="H14" s="69"/>
      <c r="I14" s="69"/>
    </row>
    <row r="15" spans="1:9" x14ac:dyDescent="0.25">
      <c r="A15" s="54" t="s">
        <v>448</v>
      </c>
      <c r="B15" s="219">
        <v>0</v>
      </c>
      <c r="C15" s="58">
        <f>B15*1/(1-$C$11)</f>
        <v>0</v>
      </c>
      <c r="D15" s="51"/>
      <c r="E15" s="51"/>
      <c r="F15" s="51"/>
      <c r="G15" s="51"/>
      <c r="H15" s="51"/>
      <c r="I15" s="51"/>
    </row>
    <row r="16" spans="1:9" x14ac:dyDescent="0.25">
      <c r="A16" s="54" t="s">
        <v>449</v>
      </c>
      <c r="B16" s="219">
        <v>500</v>
      </c>
      <c r="C16" s="58">
        <f>B16*1/(1-$C$11)</f>
        <v>8306.1224489795968</v>
      </c>
      <c r="D16" s="51"/>
      <c r="E16" s="51"/>
      <c r="F16" s="51"/>
      <c r="G16" s="51"/>
      <c r="H16" s="51"/>
      <c r="I16" s="51"/>
    </row>
    <row r="17" spans="1:9" x14ac:dyDescent="0.25">
      <c r="A17" s="52" t="s">
        <v>395</v>
      </c>
      <c r="B17" s="220">
        <v>1000</v>
      </c>
      <c r="C17" s="60">
        <f t="shared" ref="C17" si="1">B17*1/(1-$C$11)</f>
        <v>16612.244897959194</v>
      </c>
      <c r="D17" s="51"/>
      <c r="E17" s="51"/>
      <c r="F17" s="51"/>
      <c r="G17" s="51"/>
      <c r="H17" s="51"/>
      <c r="I17" s="51"/>
    </row>
    <row r="18" spans="1:9" x14ac:dyDescent="0.25">
      <c r="A18" s="312" t="s">
        <v>450</v>
      </c>
      <c r="B18" s="312"/>
      <c r="C18" s="61">
        <f>SUM(C16:C17)</f>
        <v>24918.36734693879</v>
      </c>
      <c r="D18" s="51"/>
      <c r="E18" s="51"/>
      <c r="F18" s="51"/>
      <c r="G18" s="51"/>
      <c r="H18" s="51"/>
      <c r="I18" s="51"/>
    </row>
    <row r="19" spans="1:9" x14ac:dyDescent="0.25">
      <c r="A19" s="51"/>
      <c r="B19" s="51"/>
      <c r="C19" s="51"/>
      <c r="D19" s="51"/>
      <c r="E19" s="51"/>
      <c r="F19" s="51"/>
      <c r="G19" s="51"/>
      <c r="H19" s="51"/>
      <c r="I19" s="51"/>
    </row>
    <row r="20" spans="1:9" x14ac:dyDescent="0.25">
      <c r="A20" s="52" t="s">
        <v>451</v>
      </c>
      <c r="B20" s="52" t="s">
        <v>452</v>
      </c>
      <c r="C20" s="52" t="s">
        <v>453</v>
      </c>
      <c r="D20" s="52" t="s">
        <v>44</v>
      </c>
      <c r="E20" s="52" t="s">
        <v>454</v>
      </c>
      <c r="F20" s="52" t="s">
        <v>455</v>
      </c>
      <c r="G20" s="52" t="s">
        <v>456</v>
      </c>
      <c r="H20" s="51"/>
      <c r="I20" s="51"/>
    </row>
    <row r="21" spans="1:9" x14ac:dyDescent="0.25">
      <c r="A21" s="62">
        <v>60</v>
      </c>
      <c r="B21" s="12">
        <f>$E$3/(50*A21+$E$3)</f>
        <v>0.7142857142857143</v>
      </c>
      <c r="C21" s="12">
        <f>$E$4/(5*A21+$E$4)</f>
        <v>0.83333333333333337</v>
      </c>
      <c r="D21" s="12">
        <f t="shared" ref="D21:D34" si="2">1-(1-B21)*(1-C21)</f>
        <v>0.95238095238095244</v>
      </c>
      <c r="E21" s="63">
        <f>1/(1-D21)</f>
        <v>21.000000000000025</v>
      </c>
      <c r="F21" s="64">
        <f>1-(1-B21)*((1-C21)*(1-$E$5/100))</f>
        <v>0.95238095238095244</v>
      </c>
      <c r="G21" s="63">
        <f>1/(1-F21)</f>
        <v>21.000000000000025</v>
      </c>
      <c r="H21" s="51"/>
      <c r="I21" s="51"/>
    </row>
    <row r="22" spans="1:9" x14ac:dyDescent="0.25">
      <c r="A22" s="54">
        <v>61</v>
      </c>
      <c r="B22" s="65">
        <f t="shared" ref="B22:B34" si="3">$E$3/(50*A22+$E$3)</f>
        <v>0.7109004739336493</v>
      </c>
      <c r="C22" s="65">
        <f t="shared" ref="C22:C34" si="4">$E$4/(5*A22+$E$4)</f>
        <v>0.83102493074792239</v>
      </c>
      <c r="D22" s="65">
        <f t="shared" si="2"/>
        <v>0.95114938756219558</v>
      </c>
      <c r="E22" s="66">
        <f t="shared" ref="E22:E34" si="5">1/(1-D22)</f>
        <v>20.470572426766996</v>
      </c>
      <c r="F22" s="67">
        <f t="shared" ref="F22:F34" si="6">1-(1-B22)*((1-C22)*(1-$E$5/100))</f>
        <v>0.95114938756219558</v>
      </c>
      <c r="G22" s="66">
        <f t="shared" ref="G22:G34" si="7">1/(1-F22)</f>
        <v>20.470572426766996</v>
      </c>
      <c r="H22" s="51"/>
      <c r="I22" s="51"/>
    </row>
    <row r="23" spans="1:9" x14ac:dyDescent="0.25">
      <c r="A23" s="54">
        <v>62</v>
      </c>
      <c r="B23" s="65">
        <f t="shared" si="3"/>
        <v>0.70754716981132071</v>
      </c>
      <c r="C23" s="65">
        <f t="shared" si="4"/>
        <v>0.82872928176795579</v>
      </c>
      <c r="D23" s="65">
        <f t="shared" si="2"/>
        <v>0.94991139372459088</v>
      </c>
      <c r="E23" s="66">
        <f t="shared" si="5"/>
        <v>19.964620187304902</v>
      </c>
      <c r="F23" s="67">
        <f t="shared" si="6"/>
        <v>0.94991139372459088</v>
      </c>
      <c r="G23" s="66">
        <f t="shared" si="7"/>
        <v>19.964620187304902</v>
      </c>
      <c r="H23" s="51"/>
      <c r="I23" s="51"/>
    </row>
    <row r="24" spans="1:9" x14ac:dyDescent="0.25">
      <c r="A24" s="62">
        <v>63</v>
      </c>
      <c r="B24" s="12">
        <f t="shared" si="3"/>
        <v>0.70422535211267601</v>
      </c>
      <c r="C24" s="12">
        <f t="shared" si="4"/>
        <v>0.82644628099173556</v>
      </c>
      <c r="D24" s="12">
        <f t="shared" si="2"/>
        <v>0.948667209870795</v>
      </c>
      <c r="E24" s="63">
        <f t="shared" si="5"/>
        <v>19.48072562358276</v>
      </c>
      <c r="F24" s="64">
        <f t="shared" si="6"/>
        <v>0.948667209870795</v>
      </c>
      <c r="G24" s="63">
        <f t="shared" si="7"/>
        <v>19.48072562358276</v>
      </c>
      <c r="H24" s="51"/>
      <c r="I24" s="51"/>
    </row>
    <row r="25" spans="1:9" x14ac:dyDescent="0.25">
      <c r="A25" s="54">
        <v>64</v>
      </c>
      <c r="B25" s="65">
        <f t="shared" si="3"/>
        <v>0.7009345794392523</v>
      </c>
      <c r="C25" s="65">
        <f t="shared" si="4"/>
        <v>0.82417582417582413</v>
      </c>
      <c r="D25" s="65">
        <f t="shared" si="2"/>
        <v>0.94741706891239597</v>
      </c>
      <c r="E25" s="66">
        <f t="shared" si="5"/>
        <v>19.017578124999982</v>
      </c>
      <c r="F25" s="67">
        <f t="shared" si="6"/>
        <v>0.94741706891239597</v>
      </c>
      <c r="G25" s="66">
        <f t="shared" si="7"/>
        <v>19.017578124999982</v>
      </c>
      <c r="H25" s="51"/>
      <c r="I25" s="51"/>
    </row>
    <row r="26" spans="1:9" x14ac:dyDescent="0.25">
      <c r="A26" s="54">
        <v>65</v>
      </c>
      <c r="B26" s="65">
        <f t="shared" si="3"/>
        <v>0.69767441860465118</v>
      </c>
      <c r="C26" s="65">
        <f t="shared" si="4"/>
        <v>0.82191780821917804</v>
      </c>
      <c r="D26" s="65">
        <f t="shared" si="2"/>
        <v>0.946161197833705</v>
      </c>
      <c r="E26" s="66">
        <f t="shared" si="5"/>
        <v>18.57396449704142</v>
      </c>
      <c r="F26" s="67">
        <f t="shared" si="6"/>
        <v>0.946161197833705</v>
      </c>
      <c r="G26" s="66">
        <f t="shared" si="7"/>
        <v>18.57396449704142</v>
      </c>
      <c r="H26" s="51"/>
      <c r="I26" s="51"/>
    </row>
    <row r="27" spans="1:9" x14ac:dyDescent="0.25">
      <c r="A27" s="54">
        <v>66</v>
      </c>
      <c r="B27" s="65">
        <f t="shared" si="3"/>
        <v>0.69444444444444442</v>
      </c>
      <c r="C27" s="65">
        <f t="shared" si="4"/>
        <v>0.81967213114754101</v>
      </c>
      <c r="D27" s="65">
        <f t="shared" si="2"/>
        <v>0.94489981785063748</v>
      </c>
      <c r="E27" s="66">
        <f t="shared" si="5"/>
        <v>18.148760330578497</v>
      </c>
      <c r="F27" s="67">
        <f t="shared" si="6"/>
        <v>0.94489981785063748</v>
      </c>
      <c r="G27" s="66">
        <f t="shared" si="7"/>
        <v>18.148760330578497</v>
      </c>
      <c r="H27" s="51"/>
      <c r="I27" s="51"/>
    </row>
    <row r="28" spans="1:9" x14ac:dyDescent="0.25">
      <c r="A28" s="54">
        <v>67</v>
      </c>
      <c r="B28" s="65">
        <f t="shared" si="3"/>
        <v>0.69124423963133641</v>
      </c>
      <c r="C28" s="65">
        <f t="shared" si="4"/>
        <v>0.81743869209809261</v>
      </c>
      <c r="D28" s="65">
        <f t="shared" si="2"/>
        <v>0.94363314456484892</v>
      </c>
      <c r="E28" s="66">
        <f t="shared" si="5"/>
        <v>17.740922254399656</v>
      </c>
      <c r="F28" s="67">
        <f t="shared" si="6"/>
        <v>0.94363314456484892</v>
      </c>
      <c r="G28" s="66">
        <f t="shared" si="7"/>
        <v>17.740922254399656</v>
      </c>
      <c r="H28" s="51"/>
      <c r="I28" s="51"/>
    </row>
    <row r="29" spans="1:9" x14ac:dyDescent="0.25">
      <c r="A29" s="54">
        <v>68</v>
      </c>
      <c r="B29" s="65">
        <f t="shared" si="3"/>
        <v>0.68807339449541283</v>
      </c>
      <c r="C29" s="65">
        <f t="shared" si="4"/>
        <v>0.81521739130434778</v>
      </c>
      <c r="D29" s="65">
        <f t="shared" si="2"/>
        <v>0.94236138811328285</v>
      </c>
      <c r="E29" s="66">
        <f t="shared" si="5"/>
        <v>17.349480968858146</v>
      </c>
      <c r="F29" s="67">
        <f t="shared" si="6"/>
        <v>0.94236138811328285</v>
      </c>
      <c r="G29" s="66">
        <f t="shared" si="7"/>
        <v>17.349480968858146</v>
      </c>
      <c r="H29" s="51"/>
      <c r="I29" s="51"/>
    </row>
    <row r="30" spans="1:9" x14ac:dyDescent="0.25">
      <c r="A30" s="54">
        <v>69</v>
      </c>
      <c r="B30" s="65">
        <f t="shared" si="3"/>
        <v>0.68493150684931503</v>
      </c>
      <c r="C30" s="65">
        <f t="shared" si="4"/>
        <v>0.81300813008130079</v>
      </c>
      <c r="D30" s="65">
        <f t="shared" si="2"/>
        <v>0.94108475331328656</v>
      </c>
      <c r="E30" s="66">
        <f t="shared" si="5"/>
        <v>16.973534971644614</v>
      </c>
      <c r="F30" s="67">
        <f t="shared" si="6"/>
        <v>0.94108475331328656</v>
      </c>
      <c r="G30" s="66">
        <f t="shared" si="7"/>
        <v>16.973534971644614</v>
      </c>
      <c r="H30" s="51"/>
      <c r="I30" s="51"/>
    </row>
    <row r="31" spans="1:9" x14ac:dyDescent="0.25">
      <c r="A31" s="62">
        <v>70</v>
      </c>
      <c r="B31" s="12">
        <f t="shared" si="3"/>
        <v>0.68181818181818177</v>
      </c>
      <c r="C31" s="12">
        <f t="shared" si="4"/>
        <v>0.81081081081081086</v>
      </c>
      <c r="D31" s="12">
        <f t="shared" si="2"/>
        <v>0.93980343980343983</v>
      </c>
      <c r="E31" s="63">
        <f t="shared" si="5"/>
        <v>16.61224489795919</v>
      </c>
      <c r="F31" s="64">
        <f t="shared" si="6"/>
        <v>0.93980343980343983</v>
      </c>
      <c r="G31" s="63">
        <f t="shared" si="7"/>
        <v>16.61224489795919</v>
      </c>
      <c r="H31" s="51"/>
      <c r="I31" s="51"/>
    </row>
    <row r="32" spans="1:9" x14ac:dyDescent="0.25">
      <c r="A32" s="68">
        <v>71</v>
      </c>
      <c r="B32" s="65">
        <f t="shared" si="3"/>
        <v>0.67873303167420818</v>
      </c>
      <c r="C32" s="65">
        <f t="shared" si="4"/>
        <v>0.80862533692722371</v>
      </c>
      <c r="D32" s="65">
        <f t="shared" si="2"/>
        <v>0.93851764218023925</v>
      </c>
      <c r="E32" s="66">
        <f t="shared" si="5"/>
        <v>16.26482840706208</v>
      </c>
      <c r="F32" s="67">
        <f t="shared" si="6"/>
        <v>0.93851764218023925</v>
      </c>
      <c r="G32" s="66">
        <f t="shared" si="7"/>
        <v>16.26482840706208</v>
      </c>
      <c r="H32" s="51"/>
      <c r="I32" s="51"/>
    </row>
    <row r="33" spans="1:9" x14ac:dyDescent="0.25">
      <c r="A33" s="68">
        <v>72</v>
      </c>
      <c r="B33" s="65">
        <f t="shared" si="3"/>
        <v>0.67567567567567566</v>
      </c>
      <c r="C33" s="65">
        <f t="shared" si="4"/>
        <v>0.80645161290322576</v>
      </c>
      <c r="D33" s="65">
        <f t="shared" si="2"/>
        <v>0.93722755013077597</v>
      </c>
      <c r="E33" s="66">
        <f t="shared" si="5"/>
        <v>15.930555555555562</v>
      </c>
      <c r="F33" s="67">
        <f t="shared" si="6"/>
        <v>0.93722755013077597</v>
      </c>
      <c r="G33" s="66">
        <f t="shared" si="7"/>
        <v>15.930555555555562</v>
      </c>
      <c r="H33" s="51"/>
      <c r="I33" s="51"/>
    </row>
    <row r="34" spans="1:9" x14ac:dyDescent="0.25">
      <c r="A34" s="68">
        <v>73</v>
      </c>
      <c r="B34" s="65">
        <f t="shared" si="3"/>
        <v>0.67264573991031396</v>
      </c>
      <c r="C34" s="65">
        <f t="shared" si="4"/>
        <v>0.80428954423592491</v>
      </c>
      <c r="D34" s="65">
        <f t="shared" si="2"/>
        <v>0.93593334856153598</v>
      </c>
      <c r="E34" s="66">
        <f t="shared" si="5"/>
        <v>15.608744604991561</v>
      </c>
      <c r="F34" s="67">
        <f t="shared" si="6"/>
        <v>0.93593334856153598</v>
      </c>
      <c r="G34" s="66">
        <f t="shared" si="7"/>
        <v>15.608744604991561</v>
      </c>
      <c r="H34" s="51"/>
      <c r="I34" s="51"/>
    </row>
  </sheetData>
  <mergeCells count="12">
    <mergeCell ref="A18:B18"/>
    <mergeCell ref="A12:B12"/>
    <mergeCell ref="A3:B3"/>
    <mergeCell ref="A4:B4"/>
    <mergeCell ref="G4:H4"/>
    <mergeCell ref="A5:B5"/>
    <mergeCell ref="A10:B10"/>
    <mergeCell ref="A11:B11"/>
    <mergeCell ref="A6:B6"/>
    <mergeCell ref="A7:B7"/>
    <mergeCell ref="A8:B8"/>
    <mergeCell ref="A9:B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88"/>
  <sheetViews>
    <sheetView zoomScaleNormal="100" workbookViewId="0">
      <pane ySplit="21" topLeftCell="A22" activePane="bottomLeft" state="frozen"/>
      <selection pane="bottomLeft"/>
    </sheetView>
  </sheetViews>
  <sheetFormatPr defaultRowHeight="12" x14ac:dyDescent="0.2"/>
  <cols>
    <col min="1" max="1" width="16.5703125" style="82" customWidth="1"/>
    <col min="2" max="2" width="14.7109375" style="82" customWidth="1"/>
    <col min="3" max="3" width="12.42578125" style="82" bestFit="1" customWidth="1"/>
    <col min="4" max="4" width="10.42578125" style="82" bestFit="1" customWidth="1"/>
    <col min="5" max="5" width="15.28515625" style="82" customWidth="1"/>
    <col min="6" max="6" width="8.42578125" style="82" bestFit="1" customWidth="1"/>
    <col min="7" max="7" width="15.42578125" style="82" customWidth="1"/>
    <col min="8" max="8" width="7.85546875" style="82" bestFit="1" customWidth="1"/>
    <col min="9" max="9" width="14.5703125" style="82" bestFit="1" customWidth="1"/>
    <col min="10" max="10" width="13.5703125" style="82" customWidth="1"/>
    <col min="11" max="11" width="5.42578125" style="82" customWidth="1"/>
    <col min="12" max="12" width="6.5703125" style="82" customWidth="1"/>
    <col min="13" max="13" width="7.42578125" style="82" bestFit="1" customWidth="1"/>
    <col min="14" max="14" width="12.5703125" style="82" customWidth="1"/>
    <col min="15" max="15" width="9.42578125" style="82" customWidth="1"/>
    <col min="16" max="16" width="6.28515625" style="82" customWidth="1"/>
    <col min="17" max="17" width="7.42578125" style="82" bestFit="1" customWidth="1"/>
    <col min="18" max="20" width="9.140625" style="82"/>
    <col min="21" max="21" width="6.7109375" style="82" customWidth="1"/>
    <col min="22" max="16384" width="9.140625" style="82"/>
  </cols>
  <sheetData>
    <row r="1" spans="1:21" x14ac:dyDescent="0.2">
      <c r="G1" s="292" t="s">
        <v>106</v>
      </c>
      <c r="H1" s="292"/>
      <c r="I1" s="293"/>
      <c r="J1" s="342" t="s">
        <v>522</v>
      </c>
      <c r="K1" s="342"/>
      <c r="L1" s="126" t="s">
        <v>524</v>
      </c>
      <c r="M1" s="139" t="s">
        <v>525</v>
      </c>
      <c r="N1" s="342" t="s">
        <v>523</v>
      </c>
      <c r="O1" s="342"/>
      <c r="P1" s="126" t="s">
        <v>524</v>
      </c>
      <c r="Q1" s="139" t="s">
        <v>525</v>
      </c>
      <c r="R1" s="365" t="s">
        <v>641</v>
      </c>
      <c r="S1" s="292"/>
      <c r="T1" s="234" t="s">
        <v>524</v>
      </c>
      <c r="U1" s="234" t="s">
        <v>525</v>
      </c>
    </row>
    <row r="2" spans="1:21" x14ac:dyDescent="0.2">
      <c r="A2" s="83" t="s">
        <v>26</v>
      </c>
      <c r="B2" s="84">
        <f>CSDPS</f>
        <v>1000000.0000000001</v>
      </c>
      <c r="C2" s="85" t="s">
        <v>107</v>
      </c>
      <c r="D2" s="266">
        <f>IF(bBuffBBVSlamDance,BuffBBVSlamDance,0)+IF(bBuffPtV,BuffPtV,0)+IF(bBuffPiranhas,DebuffPiranhas,0)+IF(bBuffSacrificePtP,$L$5,0)+IF(bBuffGemBoP,BuffGemBoP,0)+IF(bBuffGemTaeguk,(20+BuffGemTaeguk)*0.5,0)+IF(bBuffOtherAdd,BuffOtherAdd,0)+IF(bBuffGemToxin,BuffGemToxin,0)+IF(bBuffStrongarms,BuffStrongarms,0)+IF(bBuffHauntPoisoned,DebuffHauntPoisoned,0)+IF(bBuffZDChilled,DebuffZDChilled,0)+IF(bBuffOtherAddNS,BuffOtherAddNS,0)+IF(bBuffCrusSGDivine,20,0)+IF(bBuffWizEE,$T$5,0)+IF(bBuffWizCB,10,0)+IF(bBuffWizSTtimeWarp,15,0)+IF(bBuffDHCompanionWolf,30,0)++IF(bBuffDHMFD,20,0)+IF(bBuffMonkISFB,30,0)+IF(bBuffMonkEPTFiW,20,0)+IF(bBuffMonkMoC,$T$13,0)+IF(bBuffMonkMoCOverawe,$T$14,0)+IF(bBuffOtherAddGroup,BuffOtherAddGroup,0)</f>
        <v>0</v>
      </c>
      <c r="E2" s="83" t="s">
        <v>146</v>
      </c>
      <c r="F2" s="88">
        <f>CSINT</f>
        <v>10000</v>
      </c>
      <c r="G2" s="322" t="s">
        <v>111</v>
      </c>
      <c r="H2" s="322"/>
      <c r="I2" s="129">
        <v>0</v>
      </c>
      <c r="J2" s="343" t="s">
        <v>512</v>
      </c>
      <c r="K2" s="344"/>
      <c r="L2" s="123">
        <f>BuffBBVSlamDance</f>
        <v>30</v>
      </c>
      <c r="M2" s="120" t="b">
        <v>0</v>
      </c>
      <c r="N2" s="349" t="s">
        <v>581</v>
      </c>
      <c r="O2" s="350"/>
      <c r="P2" s="135">
        <v>50</v>
      </c>
      <c r="Q2" s="147" t="b">
        <v>0</v>
      </c>
      <c r="R2" s="366" t="s">
        <v>642</v>
      </c>
      <c r="S2" s="366"/>
      <c r="T2" s="235">
        <f>(((CSCC+20+IF(bBuffWizConflagration,6,0))*(CSCHD+IF(bBuffCrusLoVCritical,100,0))/10000+1)/((CSCC+IF(bBuffWizConflagration,6,0))*(CSCHD+IF(bBuffCrusLoVCritical,100,0))/10000+1)-1)*100</f>
        <v>26.666666666666661</v>
      </c>
      <c r="U2" s="260" t="b">
        <v>0</v>
      </c>
    </row>
    <row r="3" spans="1:21" x14ac:dyDescent="0.2">
      <c r="A3" s="83" t="s">
        <v>112</v>
      </c>
      <c r="B3" s="88">
        <f>CSBaseSpd</f>
        <v>1.4</v>
      </c>
      <c r="C3" s="89" t="s">
        <v>108</v>
      </c>
      <c r="D3" s="267">
        <f>(IF(bBuffGemBoT,1+(15+0.3*BuffGemBoT)/100,1)*IF(bBuffGemZei,1+BuffGemZei/100,1)*IF(bBuffOtherMulti,1+BuffOtherMulti/100,1)*IF(bBuffOtherMultiGroup,1+BuffOtherMultiGroup/100,1)*IF(bBuffBastionsGenerator,1+50/100,1)*IF(bBuffBastionsSpender,1+50/100,1)-1)*100</f>
        <v>0</v>
      </c>
      <c r="E3" s="90" t="s">
        <v>397</v>
      </c>
      <c r="F3" s="133">
        <v>0</v>
      </c>
      <c r="G3" s="323" t="s">
        <v>113</v>
      </c>
      <c r="H3" s="357"/>
      <c r="I3" s="129">
        <v>0</v>
      </c>
      <c r="J3" s="345" t="s">
        <v>387</v>
      </c>
      <c r="K3" s="356"/>
      <c r="L3" s="123">
        <f>BuffPtV</f>
        <v>20</v>
      </c>
      <c r="M3" s="120" t="b">
        <v>0</v>
      </c>
      <c r="N3" s="345" t="s">
        <v>528</v>
      </c>
      <c r="O3" s="346"/>
      <c r="P3" s="82">
        <v>10</v>
      </c>
      <c r="Q3" s="147" t="b">
        <v>0</v>
      </c>
      <c r="R3" s="366" t="s">
        <v>643</v>
      </c>
      <c r="S3" s="366"/>
      <c r="T3" s="235">
        <f>(((CSCC+AddCC)*(CSCHD+100)/10000+1)/((CSCC+AddCC)*(CSCHD)/10000+1)-1)*100</f>
        <v>16.666666666666675</v>
      </c>
      <c r="U3" s="260" t="b">
        <v>0</v>
      </c>
    </row>
    <row r="4" spans="1:21" x14ac:dyDescent="0.2">
      <c r="A4" s="91" t="s">
        <v>114</v>
      </c>
      <c r="B4" s="92">
        <f>CSIAS</f>
        <v>10</v>
      </c>
      <c r="C4" s="93" t="s">
        <v>109</v>
      </c>
      <c r="D4" s="265">
        <f>IF(bBuffCrusResolved,20,0)+IF(bBuffWizConflagration,6,0)</f>
        <v>0</v>
      </c>
      <c r="E4" s="90" t="s">
        <v>396</v>
      </c>
      <c r="F4" s="133">
        <v>0</v>
      </c>
      <c r="G4" s="357" t="s">
        <v>116</v>
      </c>
      <c r="H4" s="357"/>
      <c r="I4" s="129">
        <v>0</v>
      </c>
      <c r="J4" s="345" t="s">
        <v>342</v>
      </c>
      <c r="K4" s="346"/>
      <c r="L4" s="123">
        <f>DebuffPiranhas</f>
        <v>15</v>
      </c>
      <c r="M4" s="120" t="b">
        <v>0</v>
      </c>
      <c r="N4" s="238" t="s">
        <v>583</v>
      </c>
      <c r="O4" s="135">
        <v>25</v>
      </c>
      <c r="P4" s="122">
        <f>15+0.3*O4</f>
        <v>22.5</v>
      </c>
      <c r="Q4" s="147" t="b">
        <v>0</v>
      </c>
      <c r="R4" s="345" t="s">
        <v>644</v>
      </c>
      <c r="S4" s="356"/>
      <c r="T4" s="235">
        <v>20</v>
      </c>
      <c r="U4" s="260" t="b">
        <v>0</v>
      </c>
    </row>
    <row r="5" spans="1:21" x14ac:dyDescent="0.2">
      <c r="A5" s="94" t="s">
        <v>24</v>
      </c>
      <c r="B5" s="88">
        <f>$B$3*(1+($B$4+$D$6)/100)</f>
        <v>1.54</v>
      </c>
      <c r="C5" s="247" t="s">
        <v>588</v>
      </c>
      <c r="D5" s="124">
        <f>((CSCC+AddCC)*(CSCHD+IF(bBuffCrusLoVCritical,100,0))/10000+1)/(CSCC*CSCHD/10000+1)-1</f>
        <v>0</v>
      </c>
      <c r="E5" s="90" t="s">
        <v>147</v>
      </c>
      <c r="F5" s="87">
        <f>$F$2+$F$2*(F3*0.03+F4*0.1)</f>
        <v>10000</v>
      </c>
      <c r="G5" s="368"/>
      <c r="H5" s="368"/>
      <c r="I5" s="87"/>
      <c r="J5" s="237" t="s">
        <v>285</v>
      </c>
      <c r="K5" s="135">
        <v>5</v>
      </c>
      <c r="L5" s="82">
        <f>K5*BuffSacrificePtP</f>
        <v>100</v>
      </c>
      <c r="M5" s="120" t="b">
        <v>0</v>
      </c>
      <c r="N5" s="351" t="s">
        <v>582</v>
      </c>
      <c r="O5" s="352"/>
      <c r="P5" s="135">
        <v>50</v>
      </c>
      <c r="Q5" s="147" t="b">
        <v>0</v>
      </c>
      <c r="R5" s="345" t="s">
        <v>652</v>
      </c>
      <c r="S5" s="346"/>
      <c r="T5" s="135">
        <v>20</v>
      </c>
      <c r="U5" s="260" t="b">
        <v>0</v>
      </c>
    </row>
    <row r="6" spans="1:21" x14ac:dyDescent="0.2">
      <c r="A6" s="94" t="s">
        <v>20</v>
      </c>
      <c r="B6" s="96">
        <f>CSCC</f>
        <v>50</v>
      </c>
      <c r="C6" s="244" t="s">
        <v>110</v>
      </c>
      <c r="D6" s="268">
        <f>IF(OR(bBuffBBVSlamDance,bBuffIASBBV),20,0)+IF(bBuffIASGemGogok,$L$11,0)+IF(bBuffIASGemPE,$L$12*3,0)+IF(bBuffOtherIAS,$L$13,0)+IF(bBuffMonkMoRTransgression,10,0)+IF(bBuffIASBBVGroup,20,0)</f>
        <v>0</v>
      </c>
      <c r="F6" s="87"/>
      <c r="G6" s="369" t="s">
        <v>118</v>
      </c>
      <c r="H6" s="369"/>
      <c r="I6" s="130">
        <v>0</v>
      </c>
      <c r="J6" s="345" t="s">
        <v>526</v>
      </c>
      <c r="K6" s="346"/>
      <c r="L6" s="123">
        <v>20</v>
      </c>
      <c r="M6" s="120" t="b">
        <v>0</v>
      </c>
      <c r="N6" s="362" t="s">
        <v>580</v>
      </c>
      <c r="O6" s="363"/>
      <c r="P6" s="135">
        <v>50</v>
      </c>
      <c r="Q6" s="87">
        <f>(4+0.05*P5)/10*IF(P6&lt;=50,P6,50)</f>
        <v>32.5</v>
      </c>
      <c r="R6" s="345" t="s">
        <v>653</v>
      </c>
      <c r="S6" s="356"/>
      <c r="T6" s="235">
        <v>10</v>
      </c>
      <c r="U6" s="260" t="b">
        <v>0</v>
      </c>
    </row>
    <row r="7" spans="1:21" x14ac:dyDescent="0.2">
      <c r="A7" s="94" t="s">
        <v>21</v>
      </c>
      <c r="B7" s="88">
        <f>CSCHD</f>
        <v>400</v>
      </c>
      <c r="C7" s="125" t="s">
        <v>115</v>
      </c>
      <c r="D7" s="134">
        <v>0</v>
      </c>
      <c r="E7" s="97" t="s">
        <v>407</v>
      </c>
      <c r="F7" s="120" t="b">
        <v>0</v>
      </c>
      <c r="G7" s="339" t="s">
        <v>119</v>
      </c>
      <c r="H7" s="339"/>
      <c r="I7" s="98">
        <f>(0.2*$I$6/100)*($H$10-1)</f>
        <v>0</v>
      </c>
      <c r="J7" s="345" t="s">
        <v>665</v>
      </c>
      <c r="K7" s="346"/>
      <c r="L7" s="127">
        <v>50</v>
      </c>
      <c r="M7" s="120" t="b">
        <v>0</v>
      </c>
      <c r="N7" s="345" t="s">
        <v>529</v>
      </c>
      <c r="O7" s="346"/>
      <c r="P7" s="135">
        <v>25</v>
      </c>
      <c r="Q7" s="147" t="b">
        <v>0</v>
      </c>
      <c r="R7" s="345" t="s">
        <v>655</v>
      </c>
      <c r="S7" s="356"/>
      <c r="T7" s="235">
        <v>15</v>
      </c>
      <c r="U7" s="260" t="b">
        <v>0</v>
      </c>
    </row>
    <row r="8" spans="1:21" x14ac:dyDescent="0.2">
      <c r="A8" s="94" t="s">
        <v>117</v>
      </c>
      <c r="B8" s="96">
        <f>RedCDR</f>
        <v>9.9999999999999982</v>
      </c>
      <c r="C8" s="367" t="s">
        <v>520</v>
      </c>
      <c r="D8" s="297"/>
      <c r="E8" s="97" t="s">
        <v>439</v>
      </c>
      <c r="F8" s="120" t="b">
        <v>0</v>
      </c>
      <c r="G8" s="83"/>
      <c r="H8" s="83"/>
      <c r="I8" s="98"/>
      <c r="J8" s="347" t="s">
        <v>527</v>
      </c>
      <c r="K8" s="348"/>
      <c r="L8" s="138">
        <v>0</v>
      </c>
      <c r="M8" s="148" t="b">
        <v>0</v>
      </c>
      <c r="N8" s="345" t="s">
        <v>564</v>
      </c>
      <c r="O8" s="346"/>
      <c r="P8" s="82">
        <f>DebuffHauntPoisoned</f>
        <v>20</v>
      </c>
      <c r="Q8" s="147" t="b">
        <v>0</v>
      </c>
      <c r="R8" s="372" t="s">
        <v>654</v>
      </c>
      <c r="S8" s="366"/>
      <c r="T8" s="235">
        <f>(((CSCC+6+IF(bBuffCrusResolved,20,0))*(CSCHD+IF(bBuffCrusLoVCritical,100,0))/10000+1)/((CSCC+IF(bBuffCrusResolved,20,0))*(CSCHD+IF(bBuffCrusLoVCritical,100,0))/10000+1)-1)*100</f>
        <v>8.0000000000000071</v>
      </c>
      <c r="U8" s="260" t="b">
        <v>0</v>
      </c>
    </row>
    <row r="9" spans="1:21" x14ac:dyDescent="0.2">
      <c r="A9" s="94" t="s">
        <v>28</v>
      </c>
      <c r="B9" s="99">
        <f>(B2/(B3*(1+B4/100)))/(1+F2/100)*(1+F5/100)</f>
        <v>649350.64935064944</v>
      </c>
      <c r="C9" s="100" t="s">
        <v>121</v>
      </c>
      <c r="D9" s="131">
        <v>0</v>
      </c>
      <c r="E9" s="97" t="s">
        <v>413</v>
      </c>
      <c r="F9" s="120" t="b">
        <v>0</v>
      </c>
      <c r="I9" s="123"/>
      <c r="J9" s="355" t="s">
        <v>531</v>
      </c>
      <c r="K9" s="322"/>
      <c r="L9" s="323"/>
      <c r="M9" s="177">
        <f>1+(IF(bBuffBBVSlamDance,BuffBBVSlamDance,0)+IF(bBuffPtV,BuffPtV,0)+IF(bBuffPiranhas,DebuffPiranhas,0)+IF(bBuffGemBoP,BuffGemBoP,0)+IF(bBuffGemTaeguk,BuffGemTaeguk,0)+IF(bBuffOtherAdd,BuffOtherAdd,0))/100</f>
        <v>1</v>
      </c>
      <c r="N9" s="345" t="s">
        <v>578</v>
      </c>
      <c r="O9" s="356"/>
      <c r="P9" s="82">
        <f>DebuffZDChilled</f>
        <v>15</v>
      </c>
      <c r="Q9" s="147" t="b">
        <v>0</v>
      </c>
      <c r="R9" s="345" t="s">
        <v>645</v>
      </c>
      <c r="S9" s="356"/>
      <c r="T9" s="122">
        <v>30</v>
      </c>
      <c r="U9" s="260" t="b">
        <v>0</v>
      </c>
    </row>
    <row r="10" spans="1:21" x14ac:dyDescent="0.2">
      <c r="A10" s="91" t="s">
        <v>33</v>
      </c>
      <c r="B10" s="101">
        <f>$B$9/($B$6/100*(1+$B$7/100)+1*(1-$B$6/100))</f>
        <v>216450.21645021648</v>
      </c>
      <c r="C10" s="102" t="s">
        <v>123</v>
      </c>
      <c r="D10" s="132">
        <v>0</v>
      </c>
      <c r="E10" s="97" t="s">
        <v>577</v>
      </c>
      <c r="F10" s="120" t="b">
        <v>0</v>
      </c>
      <c r="G10" s="83" t="s">
        <v>125</v>
      </c>
      <c r="H10" s="128">
        <v>1</v>
      </c>
      <c r="J10" s="373" t="s">
        <v>662</v>
      </c>
      <c r="K10" s="374"/>
      <c r="L10" s="82">
        <v>20</v>
      </c>
      <c r="M10" s="120" t="b">
        <v>0</v>
      </c>
      <c r="N10" s="345" t="s">
        <v>527</v>
      </c>
      <c r="O10" s="346"/>
      <c r="P10" s="135">
        <v>0</v>
      </c>
      <c r="Q10" s="147" t="b">
        <v>0</v>
      </c>
      <c r="R10" s="345" t="s">
        <v>646</v>
      </c>
      <c r="S10" s="356"/>
      <c r="T10" s="122">
        <v>20</v>
      </c>
      <c r="U10" s="260" t="b">
        <v>0</v>
      </c>
    </row>
    <row r="11" spans="1:21" x14ac:dyDescent="0.2">
      <c r="A11" s="94" t="s">
        <v>120</v>
      </c>
      <c r="B11" s="103">
        <f>(($I$2+$I$3)*60/ROUNDDOWN(60/1/APS, 0)+$I$4)/100*DamMH</f>
        <v>0</v>
      </c>
      <c r="C11" s="104" t="s">
        <v>375</v>
      </c>
      <c r="D11" s="133">
        <v>0</v>
      </c>
      <c r="E11" s="97" t="s">
        <v>576</v>
      </c>
      <c r="F11" s="120" t="b">
        <v>0</v>
      </c>
      <c r="J11" s="373" t="s">
        <v>585</v>
      </c>
      <c r="K11" s="374"/>
      <c r="L11" s="135">
        <v>0</v>
      </c>
      <c r="M11" s="120" t="b">
        <v>0</v>
      </c>
      <c r="N11" s="353" t="s">
        <v>530</v>
      </c>
      <c r="O11" s="354"/>
      <c r="P11" s="138">
        <v>0</v>
      </c>
      <c r="Q11" s="149" t="b">
        <v>0</v>
      </c>
      <c r="R11" s="345" t="s">
        <v>647</v>
      </c>
      <c r="S11" s="356"/>
      <c r="T11" s="235">
        <v>30</v>
      </c>
      <c r="U11" s="260" t="b">
        <v>0</v>
      </c>
    </row>
    <row r="12" spans="1:21" x14ac:dyDescent="0.2">
      <c r="A12" s="91" t="s">
        <v>122</v>
      </c>
      <c r="B12" s="105">
        <f>$B$11/$B$2</f>
        <v>0</v>
      </c>
      <c r="C12" s="245" t="s">
        <v>374</v>
      </c>
      <c r="D12" s="246">
        <v>0</v>
      </c>
      <c r="E12" s="269" t="s">
        <v>657</v>
      </c>
      <c r="F12" s="120" t="b">
        <v>0</v>
      </c>
      <c r="J12" s="373" t="s">
        <v>586</v>
      </c>
      <c r="K12" s="374"/>
      <c r="L12" s="135">
        <v>0</v>
      </c>
      <c r="M12" s="120" t="b">
        <v>0</v>
      </c>
      <c r="N12" s="322" t="s">
        <v>532</v>
      </c>
      <c r="O12" s="322"/>
      <c r="P12" s="323"/>
      <c r="Q12" s="177">
        <f>(1+(IF(bBuffGemToxin,BuffGemToxin,0)+IF(bBuffStrongarms,BuffStrongarms,0)+IF(bBuffHauntPoisoned,DebuffHauntPoisoned,0)+IF(bBuffOtherAddNS,BuffOtherAddNS,0))/100)*IF(bBuffGemBoT,1+BuffGemBoT/100,1)*IF(bBuffGemZei,1+BuffGemZei/100,1)*IF(bBuffOtherMulti,1+BuffOtherMulti/100,1)</f>
        <v>1</v>
      </c>
      <c r="R12" s="345" t="s">
        <v>648</v>
      </c>
      <c r="S12" s="356"/>
      <c r="T12" s="235">
        <v>20</v>
      </c>
      <c r="U12" s="260" t="b">
        <v>0</v>
      </c>
    </row>
    <row r="13" spans="1:21" x14ac:dyDescent="0.2">
      <c r="A13" s="94" t="s">
        <v>124</v>
      </c>
      <c r="B13" s="106">
        <f>$B$11*(1+BuffE/100)</f>
        <v>0</v>
      </c>
      <c r="C13" s="97" t="s">
        <v>437</v>
      </c>
      <c r="D13" s="248">
        <f>CDRGI</f>
        <v>0</v>
      </c>
      <c r="E13" s="269" t="s">
        <v>656</v>
      </c>
      <c r="F13" s="120" t="b">
        <v>0</v>
      </c>
      <c r="J13" s="373" t="s">
        <v>587</v>
      </c>
      <c r="K13" s="374"/>
      <c r="L13" s="135">
        <v>0</v>
      </c>
      <c r="M13" s="120" t="b">
        <v>0</v>
      </c>
      <c r="R13" s="345" t="s">
        <v>649</v>
      </c>
      <c r="S13" s="356"/>
      <c r="T13" s="135">
        <v>20</v>
      </c>
      <c r="U13" s="260" t="b">
        <v>0</v>
      </c>
    </row>
    <row r="14" spans="1:21" x14ac:dyDescent="0.2">
      <c r="A14" s="94" t="s">
        <v>126</v>
      </c>
      <c r="B14" s="107">
        <f>$B$13/$B$2</f>
        <v>0</v>
      </c>
      <c r="R14" s="345" t="s">
        <v>650</v>
      </c>
      <c r="S14" s="356"/>
      <c r="T14" s="135">
        <v>24</v>
      </c>
      <c r="U14" s="260" t="b">
        <v>0</v>
      </c>
    </row>
    <row r="15" spans="1:21" x14ac:dyDescent="0.2">
      <c r="A15" s="94"/>
      <c r="B15" s="108"/>
      <c r="R15" s="373" t="s">
        <v>651</v>
      </c>
      <c r="S15" s="374"/>
      <c r="T15" s="235">
        <v>10</v>
      </c>
      <c r="U15" s="260" t="b">
        <v>0</v>
      </c>
    </row>
    <row r="16" spans="1:21" s="235" customFormat="1" x14ac:dyDescent="0.2">
      <c r="A16" s="239"/>
      <c r="B16" s="108"/>
      <c r="R16" s="373" t="s">
        <v>663</v>
      </c>
      <c r="S16" s="374"/>
      <c r="T16" s="235">
        <v>20</v>
      </c>
      <c r="U16" s="260" t="b">
        <v>0</v>
      </c>
    </row>
    <row r="17" spans="1:21" s="235" customFormat="1" x14ac:dyDescent="0.2">
      <c r="A17" s="239"/>
      <c r="B17" s="108"/>
      <c r="R17" s="345" t="s">
        <v>527</v>
      </c>
      <c r="S17" s="356"/>
      <c r="T17" s="135">
        <v>0</v>
      </c>
      <c r="U17" s="260" t="b">
        <v>0</v>
      </c>
    </row>
    <row r="18" spans="1:21" s="235" customFormat="1" x14ac:dyDescent="0.2">
      <c r="A18" s="239"/>
      <c r="B18" s="108"/>
      <c r="Q18" s="261"/>
      <c r="R18" s="351" t="s">
        <v>530</v>
      </c>
      <c r="S18" s="370"/>
      <c r="T18" s="135">
        <v>15</v>
      </c>
      <c r="U18" s="260" t="b">
        <v>0</v>
      </c>
    </row>
    <row r="19" spans="1:21" s="262" customFormat="1" x14ac:dyDescent="0.2">
      <c r="A19" s="264"/>
      <c r="B19" s="108"/>
      <c r="Q19" s="263"/>
      <c r="R19" s="263"/>
      <c r="S19" s="263"/>
      <c r="U19" s="260">
        <v>22222</v>
      </c>
    </row>
    <row r="20" spans="1:21" x14ac:dyDescent="0.2">
      <c r="A20" s="94"/>
      <c r="B20" s="108"/>
      <c r="C20" s="292" t="s">
        <v>381</v>
      </c>
      <c r="D20" s="292"/>
      <c r="E20" s="292"/>
      <c r="F20" s="293"/>
      <c r="G20" s="365" t="s">
        <v>382</v>
      </c>
      <c r="H20" s="293"/>
      <c r="I20" s="365" t="s">
        <v>535</v>
      </c>
      <c r="J20" s="293"/>
    </row>
    <row r="21" spans="1:21" x14ac:dyDescent="0.2">
      <c r="A21" s="358" t="s">
        <v>127</v>
      </c>
      <c r="B21" s="358"/>
      <c r="C21" s="83" t="s">
        <v>376</v>
      </c>
      <c r="D21" s="83" t="s">
        <v>113</v>
      </c>
      <c r="E21" s="83" t="s">
        <v>377</v>
      </c>
      <c r="F21" s="109" t="s">
        <v>378</v>
      </c>
      <c r="G21" s="110" t="s">
        <v>120</v>
      </c>
      <c r="H21" s="109" t="s">
        <v>122</v>
      </c>
      <c r="I21" s="111" t="s">
        <v>120</v>
      </c>
      <c r="J21" s="112" t="s">
        <v>438</v>
      </c>
    </row>
    <row r="22" spans="1:21" x14ac:dyDescent="0.2">
      <c r="F22" s="87"/>
      <c r="G22" s="113"/>
      <c r="H22" s="87"/>
      <c r="J22" s="87"/>
    </row>
    <row r="23" spans="1:21" x14ac:dyDescent="0.2">
      <c r="A23" s="324" t="s">
        <v>321</v>
      </c>
      <c r="B23" s="324"/>
      <c r="C23" s="94" t="s">
        <v>379</v>
      </c>
      <c r="D23" s="215">
        <v>0</v>
      </c>
      <c r="E23" s="94" t="s">
        <v>458</v>
      </c>
      <c r="F23" s="216">
        <v>0</v>
      </c>
      <c r="G23" s="114">
        <f>(((($B$6+F23)/100)*(1+$B$7/100)+(1*(1-($B$6+F23)/100)))/(($B$6/100)*(1+$B$7/100)+(1*(1-$B$6/100)))-1)</f>
        <v>0</v>
      </c>
      <c r="H23" s="87"/>
      <c r="J23" s="87"/>
    </row>
    <row r="24" spans="1:21" x14ac:dyDescent="0.2">
      <c r="A24" s="359"/>
      <c r="B24" s="359"/>
      <c r="C24" s="115">
        <f>DamAcidCloud*(1+BonusPoison/100)*(1+BuffCC+$G$23)*(1+(BuffAdd+$D$23)/100)*(1+BuffMulti/100)*(1+DamSplash)</f>
        <v>300</v>
      </c>
      <c r="E24" s="115">
        <f>DoTAcidCloud/DoTDurAcidCloud*(1+BonusPoison/100)*(1+BuffCC+$G$23)*(1+(BuffAdd+$D$23)/100)*(1+BuffMulti/100)*(1+DamSplash)</f>
        <v>120</v>
      </c>
      <c r="F24" s="116">
        <f t="shared" ref="F24:F29" si="0">((C24+D24)/APS+E24)/100</f>
        <v>3.1480519480519478</v>
      </c>
      <c r="G24" s="117">
        <f>(DamAcidCloud*60/ROUNDDOWN(60/1/APS, 0)+DoTAcidCloud/DoTDurAcidCloud)*(1+BonusPoison/100)/100*DamMH*(1+BuffCC+$G$23)*(1+(BuffAdd+$D$23)/100)*(1+BuffMulti/100)*(1+DamSplash)</f>
        <v>3855092.2761449087</v>
      </c>
      <c r="H24" s="118">
        <f>G24/$B$2</f>
        <v>3.8550922761449082</v>
      </c>
      <c r="J24" s="87"/>
    </row>
    <row r="25" spans="1:21" x14ac:dyDescent="0.2">
      <c r="A25" s="334" t="s">
        <v>323</v>
      </c>
      <c r="B25" s="334"/>
      <c r="C25" s="115">
        <f>DamAcidCloud*(1+BonusPoison/100)*(1+BuffCC+$G$23)*(1+(BuffAdd+$D$23)/100)*(1+BuffMulti/100)*(1+DamSplash)</f>
        <v>300</v>
      </c>
      <c r="E25" s="115">
        <f>DoTAcidCloud/DoTDurAcidCloud*(1+BonusPoison/100)*(1+BuffCC+$G$23)*(1+(BuffAdd+$D$23)/100)*(1+BuffMulti/100)*(1+DamSplash)</f>
        <v>120</v>
      </c>
      <c r="F25" s="116">
        <f t="shared" si="0"/>
        <v>3.1480519480519478</v>
      </c>
      <c r="G25" s="117">
        <f>(DamAcidCloud*60/ROUNDDOWN(60/1/APS, 0)+DoTAcidCloud/DoTDurAcidCloud)*(1+BonusPoison/100)/100*DamMH*(1+BuffCC+$G$23)*(1+(BuffAdd+$D$23)/100)*(1+BuffMulti/100)*(1+DamSplash)</f>
        <v>3855092.2761449087</v>
      </c>
      <c r="H25" s="118">
        <f t="shared" ref="H25:H29" si="1">G25/$B$2</f>
        <v>3.8550922761449082</v>
      </c>
      <c r="J25" s="87"/>
    </row>
    <row r="26" spans="1:21" x14ac:dyDescent="0.2">
      <c r="A26" s="334" t="s">
        <v>324</v>
      </c>
      <c r="B26" s="334"/>
      <c r="C26" s="115">
        <f>DamAcidCloud*(1+BonusPoison/100)*(1+BuffCC+$G$23)*(1+(BuffAdd+$D$23)/100)*(1+BuffMulti/100)*(1+DamSplash)</f>
        <v>300</v>
      </c>
      <c r="E26" s="115">
        <f>DoTAcidCloudLBB/DoTDurAcidCloudLBB*(1+BonusPoison/100)*(1+BuffCC+$G$23)*(1+(BuffAdd+$D$23)/100)*(1+BuffMulti/100)*(1+DamSplash)</f>
        <v>120</v>
      </c>
      <c r="F26" s="116">
        <f t="shared" si="0"/>
        <v>3.1480519480519478</v>
      </c>
      <c r="G26" s="117">
        <f>(DamAcidCloud*60/ROUNDDOWN(60/1/APS, 0)+DoTAcidCloudLBB/DoTDurAcidCloudLBB)*(1+BonusPoison/100)/100*DamMH*(1+BuffCC+$G$23)*(1+(BuffAdd+$D$23)/100)*(1+BuffMulti/100)*(1+DamSplash)</f>
        <v>3855092.2761449087</v>
      </c>
      <c r="H26" s="118">
        <f t="shared" si="1"/>
        <v>3.8550922761449082</v>
      </c>
      <c r="J26" s="87"/>
    </row>
    <row r="27" spans="1:21" x14ac:dyDescent="0.2">
      <c r="A27" s="334" t="s">
        <v>325</v>
      </c>
      <c r="B27" s="334"/>
      <c r="C27" s="115">
        <f>DamAcidCloud*(1+BonusPoison/100)*(1+BuffCC+$G$23)*(1+(BuffAdd+$D$23)/100)*(1+BuffMulti/100)*(1+DamSplash)</f>
        <v>300</v>
      </c>
      <c r="E27" s="115">
        <f>DoTAcidCloudSlowBurn/DoTDurAcidCloudSlowBurn*(1+BonusPoison/100)*(1+BuffCC+$G$23)*(1+(BuffAdd+$D$23)/100)*(1+BuffMulti/100)*(1+DamSplash)</f>
        <v>120</v>
      </c>
      <c r="F27" s="116">
        <f t="shared" si="0"/>
        <v>3.1480519480519478</v>
      </c>
      <c r="G27" s="117">
        <f>(DamAcidCloud*60/ROUNDDOWN(60/1/APS, 0)+DoTAcidCloudSlowBurn/DoTDurAcidCloudSlowBurn)*(1+BonusPoison/100)/100*DamMH*(1+BuffCC+$G$23)*(1+(BuffAdd+$D$23)/100)*(1+BuffMulti/100)*(1+DamSplash)</f>
        <v>3855092.2761449087</v>
      </c>
      <c r="H27" s="118">
        <f t="shared" si="1"/>
        <v>3.8550922761449082</v>
      </c>
      <c r="J27" s="87"/>
    </row>
    <row r="28" spans="1:21" x14ac:dyDescent="0.2">
      <c r="A28" s="334" t="s">
        <v>326</v>
      </c>
      <c r="B28" s="334"/>
      <c r="C28" s="115">
        <f>DamAcidCloudKoD*(1+BonusPoison/100)*(1+BuffCC+$G$23)*(1+(BuffAdd+$D$23)/100)*(1+BuffMulti/100)*(1+DamSplash)</f>
        <v>330</v>
      </c>
      <c r="E28" s="115">
        <f>DoTAcidCloudKoD/DoTDurAcidCloud*(1+BonusPoison/100)*(1+BuffCC+$G$23)*(1+(BuffAdd+$D$23)/100)*(1+BuffMulti/100)*(1+DamSplash)</f>
        <v>132</v>
      </c>
      <c r="F28" s="116">
        <f t="shared" si="0"/>
        <v>3.4628571428571426</v>
      </c>
      <c r="G28" s="117">
        <f>(DamAcidCloudKoD*60/ROUNDDOWN(60/1/APS, 0)+DoTAcidCloudKoD/DoTDurAcidCloud)*(1+BonusPoison/100)/100*DamMH*(1+BuffCC+$G$23)*(1+(BuffAdd+$D$23)/100)*(1+BuffMulti/100)*(1+DamSplash)</f>
        <v>4240601.5037593991</v>
      </c>
      <c r="H28" s="118">
        <f t="shared" si="1"/>
        <v>4.2406015037593985</v>
      </c>
      <c r="J28" s="87"/>
    </row>
    <row r="29" spans="1:21" x14ac:dyDescent="0.2">
      <c r="A29" s="334" t="s">
        <v>327</v>
      </c>
      <c r="B29" s="334"/>
      <c r="C29" s="115">
        <f>DamAcidCloudCorpseBomb*(1+BonusPoison/100)*(1+BuffCC+$G$23)*(1+(BuffAdd+$D$23)/100)*(1+BuffMulti/100)*(1+DamSplash)</f>
        <v>525</v>
      </c>
      <c r="E29" s="115"/>
      <c r="F29" s="116">
        <f t="shared" si="0"/>
        <v>3.4090909090909087</v>
      </c>
      <c r="G29" s="117">
        <f>(DamAcidCloudCorpseBomb*60/ROUNDDOWN(60/1/APS, 0))*(1+BonusPoison/100)/100*DamMH*(1+BuffCC+$G$23)*(1+(BuffAdd+$D$23)/100)*(1+BuffMulti/100)*(1+DamSplash)</f>
        <v>5382775.1196172256</v>
      </c>
      <c r="H29" s="118">
        <f t="shared" si="1"/>
        <v>5.3827751196172251</v>
      </c>
      <c r="J29" s="87"/>
    </row>
    <row r="30" spans="1:21" x14ac:dyDescent="0.2">
      <c r="F30" s="87"/>
      <c r="G30" s="113"/>
      <c r="H30" s="87"/>
      <c r="J30" s="87"/>
    </row>
    <row r="31" spans="1:21" x14ac:dyDescent="0.2">
      <c r="A31" s="326" t="s">
        <v>148</v>
      </c>
      <c r="B31" s="326"/>
      <c r="C31" s="94" t="s">
        <v>379</v>
      </c>
      <c r="D31" s="215">
        <v>0</v>
      </c>
      <c r="F31" s="87"/>
      <c r="G31" s="113"/>
      <c r="H31" s="87"/>
      <c r="J31" s="87"/>
    </row>
    <row r="32" spans="1:21" x14ac:dyDescent="0.2">
      <c r="A32" s="360"/>
      <c r="B32" s="360"/>
      <c r="C32" s="115">
        <f>DamCorpseSpiders*(1+BonusPhyscial/100)*(1+BuffCC)*(1+(BuffAdd+$D$31)/100)*(1+BuffMulti/100)</f>
        <v>324</v>
      </c>
      <c r="F32" s="116">
        <f t="shared" ref="F32:F37" si="2">((C32+D32)/APS+E32)/100</f>
        <v>2.1038961038961039</v>
      </c>
      <c r="G32" s="117">
        <f>DamCorpseSpiders*(1+BonusPhyscial/100)/100*DamMH*(1+BuffCC)*(1+(BuffAdd+$D$31)/100)*(1+BuffMulti/100)*60/ROUNDDOWN(60/1/APS, 0)</f>
        <v>3321941.2166780592</v>
      </c>
      <c r="H32" s="118">
        <f>G32/$B$2</f>
        <v>3.3219412166780589</v>
      </c>
      <c r="J32" s="87"/>
    </row>
    <row r="33" spans="1:21" x14ac:dyDescent="0.2">
      <c r="A33" s="334" t="s">
        <v>150</v>
      </c>
      <c r="B33" s="334"/>
      <c r="C33" s="115">
        <f>DamCorpseSpidersLeaping*(1+BonusPoison/100)*(1+BuffCC)*(1+(BuffAdd+$D$31)/100)*(1+BuffMulti/100)</f>
        <v>382</v>
      </c>
      <c r="F33" s="116">
        <f t="shared" si="2"/>
        <v>2.4805194805194803</v>
      </c>
      <c r="G33" s="117">
        <f>DamCorpseSpidersLeaping*(1+BonusPoison/100)/100*DamMH*(1+BuffCC)*(1+(BuffAdd+$D$31)/100)*(1+BuffMulti/100)*60/ROUNDDOWN(60/1/APS, 0)</f>
        <v>3916609.7060833909</v>
      </c>
      <c r="H33" s="118">
        <f t="shared" ref="H33:H37" si="3">G33/$B$2</f>
        <v>3.9166097060833902</v>
      </c>
      <c r="J33" s="87"/>
    </row>
    <row r="34" spans="1:21" x14ac:dyDescent="0.2">
      <c r="A34" s="334" t="s">
        <v>151</v>
      </c>
      <c r="B34" s="334"/>
      <c r="C34" s="115"/>
      <c r="E34" s="115">
        <f>DoTCorpseSpidersQueen/15*(1+BonusPoison/100)*(1+BuffCC)*(1+(BuffAdd+$D$31)/100)*(1+BuffMulti/100)</f>
        <v>105</v>
      </c>
      <c r="F34" s="116">
        <f t="shared" si="2"/>
        <v>1.05</v>
      </c>
      <c r="G34" s="117">
        <f>DoTCorpseSpidersQueen/15*(1+BonusPoison/100)/100*DamMH*(1+BuffCC)*(1+(BuffAdd+$D$31)/100)*(1+BuffMulti/100)</f>
        <v>681818.181818182</v>
      </c>
      <c r="H34" s="118">
        <f t="shared" si="3"/>
        <v>0.68181818181818188</v>
      </c>
      <c r="J34" s="87"/>
    </row>
    <row r="35" spans="1:21" x14ac:dyDescent="0.2">
      <c r="A35" s="333" t="s">
        <v>152</v>
      </c>
      <c r="B35" s="333"/>
      <c r="C35" s="115">
        <f>DamCorpseSpiders*(1+BonusPhyscial/100)*(1+BuffCC)*(1+(BuffAdd+$D$31)/100)*(1+BuffMulti/100)</f>
        <v>324</v>
      </c>
      <c r="F35" s="116">
        <f t="shared" si="2"/>
        <v>2.1038961038961039</v>
      </c>
      <c r="G35" s="117">
        <f>DamCorpseSpiders*(1+BonusPhyscial/100)/100*DamMH*(1+BuffCC)*(1+(BuffAdd+$D$31)/100)*(1+BuffMulti/100)*60/ROUNDDOWN(60/1/APS, 0)</f>
        <v>3321941.2166780592</v>
      </c>
      <c r="H35" s="118">
        <f t="shared" si="3"/>
        <v>3.3219412166780589</v>
      </c>
      <c r="J35" s="87"/>
    </row>
    <row r="36" spans="1:21" x14ac:dyDescent="0.2">
      <c r="A36" s="335" t="s">
        <v>153</v>
      </c>
      <c r="B36" s="335"/>
      <c r="C36" s="115">
        <f>DamCorpseSpiders*(1+BonusCold/100)*(1+BuffCC)*(1+(BuffAdd+$D$31)/100)*(1+BuffMulti/100)</f>
        <v>324</v>
      </c>
      <c r="F36" s="116">
        <f t="shared" si="2"/>
        <v>2.1038961038961039</v>
      </c>
      <c r="G36" s="117">
        <f>DamCorpseSpiders*(1+BonusCold/100)/100*DamMH*(1+BuffCC)*(1+(BuffAdd+$D$31)/100)*(1+BuffMulti/100)*60/ROUNDDOWN(60/1/APS, 0)</f>
        <v>3321941.2166780592</v>
      </c>
      <c r="H36" s="118">
        <f t="shared" si="3"/>
        <v>3.3219412166780589</v>
      </c>
      <c r="J36" s="87"/>
    </row>
    <row r="37" spans="1:21" x14ac:dyDescent="0.2">
      <c r="A37" s="320" t="s">
        <v>154</v>
      </c>
      <c r="B37" s="320"/>
      <c r="C37" s="115">
        <f>DamCorpseSpidersBlazing*(1+BonusFire/100)*(1+BuffCC)*(1+(BuffAdd+$D$31)/100)*(1+BuffMulti/100)</f>
        <v>400</v>
      </c>
      <c r="F37" s="116">
        <f t="shared" si="2"/>
        <v>2.5974025974025974</v>
      </c>
      <c r="G37" s="117">
        <f>DamCorpseSpidersBlazing*(1+BonusFire/100)/100*DamMH*(1+BuffCC)*(1+(BuffAdd+$D$31)/100)*(1+BuffMulti/100)*60/ROUNDDOWN(60/1/APS, 0)</f>
        <v>4101161.9958988391</v>
      </c>
      <c r="H37" s="118">
        <f t="shared" si="3"/>
        <v>4.1011619958988383</v>
      </c>
      <c r="J37" s="87"/>
    </row>
    <row r="38" spans="1:21" x14ac:dyDescent="0.2">
      <c r="F38" s="87"/>
      <c r="G38" s="113"/>
      <c r="H38" s="87"/>
      <c r="J38" s="87"/>
    </row>
    <row r="39" spans="1:21" x14ac:dyDescent="0.2">
      <c r="A39" s="319" t="s">
        <v>203</v>
      </c>
      <c r="B39" s="319"/>
      <c r="C39" s="94" t="s">
        <v>379</v>
      </c>
      <c r="D39" s="215">
        <v>0</v>
      </c>
      <c r="F39" s="87"/>
      <c r="G39" s="113"/>
      <c r="H39" s="87"/>
      <c r="J39" s="87"/>
    </row>
    <row r="40" spans="1:21" x14ac:dyDescent="0.2">
      <c r="A40" s="364"/>
      <c r="B40" s="364"/>
      <c r="C40" s="115">
        <f>DamFirebats*(1+BonusFire/100)*(1+BuffCC)*(1+(BuffAdd+$D$39)/100)*(1+BuffMulti/100)*(1+DamSplash)</f>
        <v>425</v>
      </c>
      <c r="F40" s="116">
        <f t="shared" ref="F40:F45" si="4">((C40+D40)/APS+E40)/100</f>
        <v>2.7597402597402594</v>
      </c>
      <c r="G40" s="117">
        <f>DamFirebats/TCoefFirebats*(1+BonusFire/100)/100*DamMH*(1+BuffCC)*(1+(BuffAdd+$D$39)/100)*(1+BuffMulti/100)*(1+DamSplash)*60/ROUNDDOWN(60/TCoefFirebats/APS, 0)</f>
        <v>4357484.6206425158</v>
      </c>
      <c r="H40" s="118">
        <f t="shared" ref="H40:H45" si="5">G40/$B$2</f>
        <v>4.3574846206425155</v>
      </c>
      <c r="J40" s="87"/>
    </row>
    <row r="41" spans="1:21" x14ac:dyDescent="0.2">
      <c r="A41" s="320" t="s">
        <v>204</v>
      </c>
      <c r="B41" s="320"/>
      <c r="C41" s="115">
        <f>DamFirebats*(1+BonusFire/100)*(1+BuffCC)*(1+(BuffAdd+$D$39)/100)*(1+BuffMulti/100)*(1+DamSplash)</f>
        <v>425</v>
      </c>
      <c r="F41" s="116">
        <f t="shared" si="4"/>
        <v>2.7597402597402594</v>
      </c>
      <c r="G41" s="117">
        <f>DamFirebats/TCoefFirebats*(1+BonusFire/100)/100*DamMH*(1+BuffCC)*(1+(BuffAdd+$D$39)/100)*(1+BuffMulti/100)*(1+DamSplash)*60/ROUNDDOWN(60/TCoefFirebats/APS, 0)</f>
        <v>4357484.6206425158</v>
      </c>
      <c r="H41" s="118">
        <f t="shared" si="5"/>
        <v>4.3574846206425155</v>
      </c>
      <c r="J41" s="87"/>
      <c r="R41" s="261"/>
      <c r="S41" s="371"/>
      <c r="T41" s="371"/>
      <c r="U41" s="235"/>
    </row>
    <row r="42" spans="1:21" x14ac:dyDescent="0.2">
      <c r="A42" s="320" t="s">
        <v>206</v>
      </c>
      <c r="B42" s="320"/>
      <c r="C42" s="115">
        <f>DamFirebatsVampire*(1+BonusFire/100)*(1+BuffCC)*(1+(BuffAdd+$D$39)/100)*(1+BuffMulti/100)*(1+DamSplash)</f>
        <v>425</v>
      </c>
      <c r="F42" s="116">
        <f t="shared" si="4"/>
        <v>2.7597402597402594</v>
      </c>
      <c r="G42" s="117">
        <f>DamFirebatsVampire/TCoefFirebats*(1+BonusFire/100)/100*DamMH*(1+BuffCC)*(1+(BuffAdd+$D$39)/100)*(1+BuffMulti/100)*(1+DamSplash)*60/ROUNDDOWN(60/TCoefFirebats/APS, 0)</f>
        <v>4357484.6206425158</v>
      </c>
      <c r="H42" s="118">
        <f t="shared" si="5"/>
        <v>4.3574846206425155</v>
      </c>
      <c r="J42" s="87"/>
    </row>
    <row r="43" spans="1:21" x14ac:dyDescent="0.2">
      <c r="A43" s="334" t="s">
        <v>207</v>
      </c>
      <c r="B43" s="334"/>
      <c r="C43" s="115"/>
      <c r="D43" s="115">
        <f>DoTFirebatsPlague/(10/(60/ROUNDDOWN(60/TCoefFirebats/APS, 0)))*(1+BonusPoison/100)*(1+BuffCC)*(1+(BuffAdd+$D$39)/100)*(1+BuffMulti/100)*(1+DamSplash)</f>
        <v>201.47368421052633</v>
      </c>
      <c r="F43" s="116">
        <f t="shared" si="4"/>
        <v>1.3082706766917296</v>
      </c>
      <c r="G43" s="117">
        <f>DoTFirebatsPlague/(10/(60/ROUNDDOWN(60/TCoefFirebats/APS, 0)))*5*(1+BonusPoison/100)/100*DamMH*(1+BuffCC)*(1+(BuffAdd+$D$39)/100)*(1+BuffMulti/100)*(1+DamSplash)</f>
        <v>6541353.3834586479</v>
      </c>
      <c r="H43" s="118">
        <f t="shared" si="5"/>
        <v>6.541353383458647</v>
      </c>
      <c r="I43" s="119">
        <f>DoTFirebatsPlague*5*(1+BonusPoison/100)/100*DamMH*(1+BuffCC)*(1+(BuffAdd+$D$39)/100)*(1+BuffMulti/100)*(1+DamSplash)/INDEX(Reductions!$B$28:'Reductions'!$J$29,2,MATCH(CDSoulHarvest,Reductions!$B$28:'Reductions'!$J$28,0))</f>
        <v>1534391.5343915345</v>
      </c>
      <c r="J43" s="118">
        <f t="shared" ref="J43" si="6">I43/$B$2</f>
        <v>1.5343915343915344</v>
      </c>
    </row>
    <row r="44" spans="1:21" x14ac:dyDescent="0.2">
      <c r="A44" s="320" t="s">
        <v>208</v>
      </c>
      <c r="B44" s="320"/>
      <c r="C44" s="115">
        <f>DamFirebatsHungry*(1+BonusFire/100)*(1+BuffCC)*(1+(BuffAdd+$D$39)/100)*(1+BuffMulti/100)</f>
        <v>635</v>
      </c>
      <c r="F44" s="116">
        <f t="shared" si="4"/>
        <v>4.1233766233766236</v>
      </c>
      <c r="G44" s="117">
        <f>DamFirebatsHungry/TCoefFirebats*(1+BonusFire/100)/100*DamMH*(1+BuffCC)*(1+(BuffAdd+$D$39)/100)*(1+BuffMulti/100)*60/ROUNDDOWN(60/TCoefFirebats/APS, 0)</f>
        <v>6510594.6684894059</v>
      </c>
      <c r="H44" s="118">
        <f t="shared" si="5"/>
        <v>6.5105946684894054</v>
      </c>
      <c r="J44" s="87"/>
    </row>
    <row r="45" spans="1:21" x14ac:dyDescent="0.2">
      <c r="A45" s="320" t="s">
        <v>209</v>
      </c>
      <c r="B45" s="320"/>
      <c r="C45" s="115">
        <f>DamFirebatsCoB*(1+BonusFire/100)*(1+BuffCC)*(1+(BuffAdd+$D$39)/100)*(1+BuffMulti/100)*(1+DamSplash)</f>
        <v>850</v>
      </c>
      <c r="F45" s="116">
        <f t="shared" si="4"/>
        <v>5.5194805194805188</v>
      </c>
      <c r="G45" s="117">
        <f>DamFirebatsCoB/TCoefFirebats*(1+BonusFire/100)/100*DamMH*(1+BuffCC)*(1+(BuffAdd+$D$39)/100)*(1+BuffMulti/100)*(1+DamSplash)*60/ROUNDDOWN(60/TCoefFirebats/APS, 0)</f>
        <v>8714969.2412850317</v>
      </c>
      <c r="H45" s="118">
        <f t="shared" si="5"/>
        <v>8.714969241285031</v>
      </c>
      <c r="J45" s="87"/>
    </row>
    <row r="46" spans="1:21" x14ac:dyDescent="0.2">
      <c r="F46" s="87"/>
      <c r="G46" s="113"/>
      <c r="H46" s="87"/>
      <c r="J46" s="87"/>
    </row>
    <row r="47" spans="1:21" x14ac:dyDescent="0.2">
      <c r="A47" s="319" t="s">
        <v>163</v>
      </c>
      <c r="B47" s="319"/>
      <c r="C47" s="94" t="s">
        <v>379</v>
      </c>
      <c r="D47" s="215">
        <v>0</v>
      </c>
      <c r="F47" s="87"/>
      <c r="G47" s="113"/>
      <c r="H47" s="87"/>
      <c r="J47" s="87"/>
    </row>
    <row r="48" spans="1:21" x14ac:dyDescent="0.2">
      <c r="A48" s="364"/>
      <c r="B48" s="364"/>
      <c r="C48" s="115">
        <f>DamFirebomb*(1+BonusFire/100)*(1+BuffCC)*(1+(BuffAdd+$D$47)/100)*(1+BuffMulti/100)*(1+DamSplash)</f>
        <v>155</v>
      </c>
      <c r="F48" s="116">
        <f t="shared" ref="F48:F53" si="7">((C48+D48)/APS+E48)/100</f>
        <v>1.0064935064935066</v>
      </c>
      <c r="G48" s="117">
        <f>DamFirebomb*(1+BonusFire/100)/100*DamMH*(1+BuffCC)*(1+(BuffAdd+$D$47)/100)*(1+BuffMulti/100)*(1+DamSplash)*60/ROUNDDOWN(60/1/APS, 0)</f>
        <v>1589200.2734108001</v>
      </c>
      <c r="H48" s="118">
        <f t="shared" ref="H48:H53" si="8">G48/$B$2</f>
        <v>1.5892002734107999</v>
      </c>
      <c r="J48" s="87"/>
    </row>
    <row r="49" spans="1:10" x14ac:dyDescent="0.2">
      <c r="A49" s="330" t="s">
        <v>165</v>
      </c>
      <c r="B49" s="330"/>
      <c r="C49" s="115">
        <f>DamFirebomb*(1+BonusFire/100)*(1+BuffCC)*(1+(BuffAdd+$D$47)/100)*(1+BuffMulti/100)*(1+DamSplash)</f>
        <v>155</v>
      </c>
      <c r="F49" s="116">
        <f t="shared" si="7"/>
        <v>1.0064935064935066</v>
      </c>
      <c r="G49" s="117">
        <f>DamFirebomb*(1+BonusFire/100)/100*DamMH*(1+BuffCC)*(1+(BuffAdd+$D$47)/100)*(1+BuffMulti/100)*(1+DamSplash)*60/ROUNDDOWN(60/1/APS, 0)</f>
        <v>1589200.2734108001</v>
      </c>
      <c r="H49" s="118">
        <f t="shared" si="8"/>
        <v>1.5892002734107999</v>
      </c>
      <c r="J49" s="87"/>
    </row>
    <row r="50" spans="1:10" x14ac:dyDescent="0.2">
      <c r="A50" s="330" t="s">
        <v>167</v>
      </c>
      <c r="B50" s="330"/>
      <c r="C50" s="115">
        <f>DamFirebomb*(1+BonusFire/100)*(1+BuffCC)*(1+(BuffAdd+$D$47)/100)*(1+BuffMulti/100)*(1+DamSplash)</f>
        <v>155</v>
      </c>
      <c r="F50" s="116">
        <f t="shared" si="7"/>
        <v>1.0064935064935066</v>
      </c>
      <c r="G50" s="117">
        <f>DamFirebomb*(1+BonusFire/100)/100*DamMH*(1+BuffCC)*(1+(BuffAdd+$D$47)/100)*(1+BuffMulti/100)*(1+DamSplash)*60/ROUNDDOWN(60/1/APS, 0)</f>
        <v>1589200.2734108001</v>
      </c>
      <c r="H50" s="118">
        <f t="shared" si="8"/>
        <v>1.5892002734107999</v>
      </c>
      <c r="J50" s="87"/>
    </row>
    <row r="51" spans="1:10" x14ac:dyDescent="0.2">
      <c r="A51" s="330" t="s">
        <v>169</v>
      </c>
      <c r="B51" s="330"/>
      <c r="C51" s="115">
        <f>DamFirebomb*(1+BonusFire/100)*(1+BuffCC)*(1+(BuffAdd+$D$47)/100)*(1+BuffMulti/100)*(1+DamSplash)</f>
        <v>155</v>
      </c>
      <c r="D51" s="115">
        <f>DoTFirebombFirePit/DoTDurFirebombFirePit*(1+BonusFire/100)*(1+BuffCC)*(1+(BuffAdd+$D$47)/100)*(1+BuffMulti/100)*(1+DamSplash)</f>
        <v>20</v>
      </c>
      <c r="F51" s="116">
        <f t="shared" si="7"/>
        <v>1.1363636363636365</v>
      </c>
      <c r="G51" s="117">
        <f>(DamFirebomb+DoTFirebombFirePit)*(1+BonusFire/100)/100*DamMH*(1+BuffCC)*(1+(BuffAdd+$D$47)/100)*(1+BuffMulti/100)*(1+DamSplash)*60/ROUNDDOWN(60/1/APS, 0)</f>
        <v>2204374.5727956258</v>
      </c>
      <c r="H51" s="118">
        <f t="shared" si="8"/>
        <v>2.2043745727956257</v>
      </c>
      <c r="J51" s="87"/>
    </row>
    <row r="52" spans="1:10" x14ac:dyDescent="0.2">
      <c r="A52" s="330" t="s">
        <v>171</v>
      </c>
      <c r="B52" s="330"/>
      <c r="C52" s="115"/>
      <c r="E52" s="115">
        <f>DoTFirebombPyrogeist/DoTDurFirebombPyrogeist*(1+BonusFire/100)*(1+BuffCC)*(1+(BuffAdd+$D$47)/100)*(1+BuffMulti/100)*(1+DamSplash)</f>
        <v>146.66666666666666</v>
      </c>
      <c r="F52" s="116">
        <f t="shared" si="7"/>
        <v>1.4666666666666666</v>
      </c>
      <c r="G52" s="117">
        <f>DoTFirebombPyrogeist/6*3*(1+BonusFire/100)/100*DamMH*(1+BuffCC)*(1+(BuffAdd+$D$47)/100)*(1+BuffMulti/100)*(1+DamSplash)</f>
        <v>2857142.8571428577</v>
      </c>
      <c r="H52" s="118">
        <f t="shared" si="8"/>
        <v>2.8571428571428572</v>
      </c>
      <c r="I52" s="119"/>
      <c r="J52" s="118"/>
    </row>
    <row r="53" spans="1:10" x14ac:dyDescent="0.2">
      <c r="A53" s="330" t="s">
        <v>173</v>
      </c>
      <c r="B53" s="330"/>
      <c r="C53" s="115">
        <f>(DamFirebomb+Dam2FirebombGhostBomb)*(1+BonusFire/100)*(1+BuffCC)*(1+(BuffAdd+$D$47)/100)*(1+BuffMulti/100)*(1+DamSplash)</f>
        <v>185</v>
      </c>
      <c r="F53" s="116">
        <f t="shared" si="7"/>
        <v>1.2012987012987013</v>
      </c>
      <c r="G53" s="117">
        <f>(DamFirebomb+Dam2FirebombGhostBomb)*(1+BonusFire/100)/100*DamMH*(1+BuffCC)*(1+(BuffAdd+$D$47)/100)*(1+BuffMulti/100)*(1+DamSplash)*60/ROUNDDOWN(60/1/APS, 0)</f>
        <v>1896787.4231032128</v>
      </c>
      <c r="H53" s="118">
        <f t="shared" si="8"/>
        <v>1.8967874231032127</v>
      </c>
      <c r="J53" s="87"/>
    </row>
    <row r="54" spans="1:10" x14ac:dyDescent="0.2">
      <c r="F54" s="87"/>
      <c r="G54" s="113"/>
      <c r="H54" s="87"/>
      <c r="J54" s="87"/>
    </row>
    <row r="55" spans="1:10" x14ac:dyDescent="0.2">
      <c r="A55" s="326" t="s">
        <v>192</v>
      </c>
      <c r="B55" s="326"/>
      <c r="C55" s="94" t="s">
        <v>379</v>
      </c>
      <c r="D55" s="215">
        <v>0</v>
      </c>
      <c r="F55" s="87"/>
      <c r="G55" s="113"/>
      <c r="H55" s="87"/>
      <c r="J55" s="87"/>
    </row>
    <row r="56" spans="1:10" x14ac:dyDescent="0.2">
      <c r="A56" s="360"/>
      <c r="B56" s="360"/>
      <c r="D56" s="115">
        <f>DoTGraspDead*(1+BonusPhyscial/100)*(1+BuffCC)*(1+(BuffAdd+$D$55)/100)*(1+BuffMulti/100)*(1+DamSplash)/INDEX(Reductions!$B$28:'Reductions'!$J$29,2,MATCH(CDGraspDead,Reductions!$B$28:'Reductions'!$J$28,0))</f>
        <v>77.777777777777771</v>
      </c>
      <c r="F56" s="116">
        <f t="shared" ref="F56:F61" si="9">((C56+D56)/APS+E56)/100</f>
        <v>0.50505050505050497</v>
      </c>
      <c r="G56" s="117">
        <f>DoTGraspDead*(1+BonusPhyscial/100)/100*DamMH*(1+BuffCC)*(1+(BuffAdd+$D$55)/100)*(1+BuffMulti/100)*(1+DamSplash)/((CDGraspDead-$D$13)*(1-CDR/100))</f>
        <v>505050.5050505051</v>
      </c>
      <c r="H56" s="118">
        <f t="shared" ref="H56:H61" si="10">G56/$B$2</f>
        <v>0.50505050505050508</v>
      </c>
      <c r="J56" s="87"/>
    </row>
    <row r="57" spans="1:10" x14ac:dyDescent="0.2">
      <c r="A57" s="361" t="s">
        <v>194</v>
      </c>
      <c r="B57" s="361"/>
      <c r="D57" s="115">
        <f>DoTGraspDead*(1+BonusPhyscial/100)*(1+BuffCC)*(1+(BuffAdd+$D$55)/100)*(1+BuffMulti/100)*(1+DamSplash)/INDEX(Reductions!$B$28:'Reductions'!$J$29,2,MATCH(CDGraspDead,Reductions!$B$28:'Reductions'!$J$28,0))</f>
        <v>77.777777777777771</v>
      </c>
      <c r="F57" s="116">
        <f t="shared" si="9"/>
        <v>0.50505050505050497</v>
      </c>
      <c r="G57" s="117">
        <f>DoTGraspDead*(1+BonusPhyscial/100)/100*DamMH*(1+BuffCC)*(1+(BuffAdd+$D$55)/100)*(1+BuffMulti/100)*(1+DamSplash)/((CDGraspDead-$D$13)*(1-CDR/100))</f>
        <v>505050.5050505051</v>
      </c>
      <c r="H57" s="118">
        <f t="shared" si="10"/>
        <v>0.50505050505050508</v>
      </c>
      <c r="J57" s="87"/>
    </row>
    <row r="58" spans="1:10" x14ac:dyDescent="0.2">
      <c r="A58" s="361" t="s">
        <v>196</v>
      </c>
      <c r="B58" s="361"/>
      <c r="D58" s="115">
        <f>DoTGraspDeadGropingEels*(1+BonusPhyscial/100)*(1+BuffCC)*(1+(BuffAdd+$D$55)/100)*(1+BuffMulti/100)*(1+DamSplash)/INDEX(Reductions!$B$28:'Reductions'!$J$29,2,MATCH(CDGraspDead,Reductions!$B$28:'Reductions'!$J$28,0))</f>
        <v>122.22222222222221</v>
      </c>
      <c r="F58" s="116">
        <f t="shared" si="9"/>
        <v>0.7936507936507935</v>
      </c>
      <c r="G58" s="117">
        <f>DoTGraspDeadGropingEels*(1+BonusPhyscial/100)/100*DamMH*(1+BuffCC)*(1+(BuffAdd+$D$55)/100)*(1+BuffMulti/100)*(1+DamSplash)/((CDGraspDead-$D$13)*(1-CDR/100))</f>
        <v>793650.79365079384</v>
      </c>
      <c r="H58" s="118">
        <f t="shared" si="10"/>
        <v>0.79365079365079372</v>
      </c>
      <c r="J58" s="87"/>
    </row>
    <row r="59" spans="1:10" x14ac:dyDescent="0.2">
      <c r="A59" s="361" t="s">
        <v>197</v>
      </c>
      <c r="B59" s="361"/>
      <c r="D59" s="115">
        <f>DoTGraspDead*(1+BonusPhyscial/100)*(1+BuffCC)*(1+(BuffAdd+$D$55)/100)*(1+BuffMulti/100)*(1+DamSplash)/INDEX(Reductions!$B$28:'Reductions'!$J$29,2,MATCH(CDGraspDead,Reductions!$B$28:'Reductions'!$J$28,0))</f>
        <v>77.777777777777771</v>
      </c>
      <c r="F59" s="116">
        <f t="shared" si="9"/>
        <v>0.50505050505050497</v>
      </c>
      <c r="G59" s="117">
        <f>DoTGraspDead*(1+BonusPhyscial/100)/100*DamMH*(1+BuffCC)*(1+(BuffAdd+$D$55)/100)*(1+BuffMulti/100)*(1+DamSplash)/((CDGraspDead-$D$13)*(1-CDR/100))</f>
        <v>505050.5050505051</v>
      </c>
      <c r="H59" s="118">
        <f t="shared" si="10"/>
        <v>0.50505050505050508</v>
      </c>
      <c r="J59" s="87"/>
    </row>
    <row r="60" spans="1:10" x14ac:dyDescent="0.2">
      <c r="A60" s="361" t="s">
        <v>199</v>
      </c>
      <c r="B60" s="361"/>
      <c r="D60" s="115">
        <f>DoTGraspDead*(1+BonusPhyscial/100)*(1+BuffCC)*(1+(BuffAdd+$D$55)/100)*(1+BuffMulti/100)*(1+DamSplash)/INDEX(Reductions!$B$28:'Reductions'!$J$29,2,MATCH(CDGraspDeadDesperate,Reductions!$B$28:'Reductions'!$J$28,0))</f>
        <v>103.7037037037037</v>
      </c>
      <c r="F60" s="116">
        <f t="shared" si="9"/>
        <v>0.67340067340067333</v>
      </c>
      <c r="G60" s="117">
        <f>DoTGraspDead*(1+BonusPhyscial/100)/100*DamMH*(1+BuffCC)*(1+(BuffAdd+$D$55)/100)*(1+BuffMulti/100)*(1+DamSplash)/((CDGraspDeadDesperate-$D$13)*(1-CDR/100))</f>
        <v>673400.67340067343</v>
      </c>
      <c r="H60" s="118">
        <f t="shared" si="10"/>
        <v>0.67340067340067333</v>
      </c>
      <c r="J60" s="87"/>
    </row>
    <row r="61" spans="1:10" x14ac:dyDescent="0.2">
      <c r="A61" s="361" t="s">
        <v>200</v>
      </c>
      <c r="B61" s="361"/>
      <c r="D61" s="115">
        <f>DoTGraspDeadRainCorpses*(1+BonusPhyscial/100)*(1+BuffCC)*(1+(BuffAdd+$D$55)/100)*(1+BuffMulti/100)*(1+DamSplash)/INDEX(Reductions!$B$28:'Reductions'!$J$29,2,MATCH(CDGraspDead,Reductions!$B$28:'Reductions'!$J$28,0))</f>
        <v>136.11111111111111</v>
      </c>
      <c r="F61" s="116">
        <f t="shared" si="9"/>
        <v>0.88383838383838376</v>
      </c>
      <c r="G61" s="117">
        <f>DoTGraspDeadRainCorpses*(1+BonusPhyscial/100)/100*DamMH*(1+BuffCC)*(1+(BuffAdd+$D$55)/100)*(1+BuffMulti/100)*(1+DamSplash)/((CDGraspDead-$D$13)*(1-CDR/100))</f>
        <v>883838.38383838406</v>
      </c>
      <c r="H61" s="118">
        <f t="shared" si="10"/>
        <v>0.88383838383838398</v>
      </c>
      <c r="J61" s="87"/>
    </row>
    <row r="62" spans="1:10" x14ac:dyDescent="0.2">
      <c r="F62" s="87"/>
      <c r="G62" s="113"/>
      <c r="H62" s="87"/>
      <c r="J62" s="87"/>
    </row>
    <row r="63" spans="1:10" x14ac:dyDescent="0.2">
      <c r="A63" s="340" t="s">
        <v>213</v>
      </c>
      <c r="B63" s="340"/>
      <c r="C63" s="94" t="s">
        <v>379</v>
      </c>
      <c r="D63" s="215">
        <v>0</v>
      </c>
      <c r="E63" s="94"/>
      <c r="F63" s="120"/>
      <c r="G63" s="113"/>
      <c r="H63" s="87"/>
      <c r="J63" s="87"/>
    </row>
    <row r="64" spans="1:10" x14ac:dyDescent="0.2">
      <c r="A64" s="341"/>
      <c r="B64" s="341"/>
      <c r="C64" s="115">
        <f>(IF(bBuffJade2p,DoTHaunt/DoTDurHaunt*10,0)*IF($F$8,2,1))*(1+BonusCold/100)*(1+BuffCC)*(1+(BuffAdd+$D$63)/100)*(1+BuffMulti/100)</f>
        <v>0</v>
      </c>
      <c r="E64" s="115">
        <f>DoTHaunt/DoTDurHaunt*IF($F$8,2,1)*(1+BonusCold/100)*(1+BuffCC)*(1+(BuffAdd+$D$63)/100)*(1+BuffMulti/100)</f>
        <v>333.33333333333331</v>
      </c>
      <c r="F64" s="116">
        <f t="shared" ref="F64:F69" si="11">((C64+D64)/APS+E64)/100</f>
        <v>3.333333333333333</v>
      </c>
      <c r="G64" s="117">
        <f>(IF(bBuffJade2p,DoTHaunt/DoTDurHaunt*10,0)+DoTHaunt/DoTDurHaunt)*IF($F$8,2,1)*(1+BonusCold/100)/100*DamMH*(1+BuffCC)*(1+(BuffAdd+$D$63)/100)*(1+BuffMulti/100)</f>
        <v>2164502.1645021648</v>
      </c>
      <c r="H64" s="118">
        <f t="shared" ref="H64:J69" si="12">G64/$B$2</f>
        <v>2.1645021645021645</v>
      </c>
      <c r="I64" s="119">
        <f>DoTHaunt/DoTDurHaunt/TRateHaunt*(TRateHaunt*IF($F$8,2,1))*IF($F$9,40,DoTDurHaunt/IF($F$8,2,1))*(1+BonusCold/100)/100*DamMH*(1+BuffCC)*(1+(BuffAdd+$D$63)/100)*(1+BuffMulti/100)*(1+DamSplash)/INDEX(Reductions!$B$28:'Reductions'!$J$29,2,MATCH(CDSoulHarvest,Reductions!$B$28:'Reductions'!$J$28,0))</f>
        <v>1924001.9240019245</v>
      </c>
      <c r="J64" s="118">
        <f t="shared" si="12"/>
        <v>1.9240019240019242</v>
      </c>
    </row>
    <row r="65" spans="1:10" x14ac:dyDescent="0.2">
      <c r="A65" s="330" t="s">
        <v>215</v>
      </c>
      <c r="B65" s="330"/>
      <c r="C65" s="115">
        <f>(IF(bBuffJade2p,DoTHaunt/DoTDurHaunt*10,0)*IF($F$8,2,1))*(1+BonusFire/100)*(1+BuffCC)*(1+(BuffAdd+$D$63)/100)*(1+BuffMulti/100)</f>
        <v>0</v>
      </c>
      <c r="E65" s="115">
        <f>DoTHaunt/DoTDurHaunt*IF($F$8,2,1)*(1+BonusFire/100)*(1+BuffCC)*(1+(BuffAdd+$D$63)/100)*(1+BuffMulti/100)</f>
        <v>333.33333333333331</v>
      </c>
      <c r="F65" s="116">
        <f t="shared" si="11"/>
        <v>3.333333333333333</v>
      </c>
      <c r="G65" s="117">
        <f>(IF(bBuffJade2p,DoTHaunt/DoTDurHaunt*10,0)+DoTHaunt/DoTDurHaunt)*IF($F$8,2,1)*(1+BonusFire/100)/100*DamMH*(1+BuffCC)*(1+(BuffAdd+$D$63)/100)*(1+BuffMulti/100)</f>
        <v>2164502.1645021648</v>
      </c>
      <c r="H65" s="118">
        <f t="shared" si="12"/>
        <v>2.1645021645021645</v>
      </c>
      <c r="I65" s="119">
        <f>DoTHaunt/DoTDurHaunt/TRateHaunt*(TRateHaunt*IF($F$8,2,1))*IF($F$9,40,DoTDurHaunt/IF($F$8,2,1))*(1+BonusCold/100)/100*DamMH*(1+BuffCC)*(1+(BuffAdd+$D$63)/100)*(1+BuffMulti/100)*(1+DamSplash)/INDEX(Reductions!$B$28:'Reductions'!$J$29,2,MATCH(CDSoulHarvest,Reductions!$B$28:'Reductions'!$J$28,0))</f>
        <v>1924001.9240019245</v>
      </c>
      <c r="J65" s="118">
        <f t="shared" ref="J65:J69" si="13">I65/$B$2</f>
        <v>1.9240019240019242</v>
      </c>
    </row>
    <row r="66" spans="1:10" x14ac:dyDescent="0.2">
      <c r="A66" s="329" t="s">
        <v>216</v>
      </c>
      <c r="B66" s="329"/>
      <c r="C66" s="115">
        <f>(IF(bBuffJade2p,DoTHaunt/DoTDurHaunt*10,0)*IF($F$8,2,1))*(1+BonusCold/100)*(1+BuffCC)*(1+(BuffAdd+$D$63)/100)*(1+BuffMulti/100)</f>
        <v>0</v>
      </c>
      <c r="E66" s="115">
        <f>DoTHaunt/DoTDurHaunt*IF($F$8,2,1)*(1+BonusCold/100)*(1+BuffCC)*(1+(BuffAdd+$D$63)/100)*(1+BuffMulti/100)</f>
        <v>333.33333333333331</v>
      </c>
      <c r="F66" s="116">
        <f t="shared" si="11"/>
        <v>3.333333333333333</v>
      </c>
      <c r="G66" s="117">
        <f>(IF(bBuffJade2p,DoTHaunt/DoTDurHaunt*10,0)+DoTHaunt/DoTDurHaunt)*IF($F$8,2,1)*(1+BonusCold/100)/100*DamMH*(1+BuffCC)*(1+(BuffAdd+$D$63)/100)*(1+BuffMulti/100)</f>
        <v>2164502.1645021648</v>
      </c>
      <c r="H66" s="118">
        <f t="shared" si="12"/>
        <v>2.1645021645021645</v>
      </c>
      <c r="I66" s="119">
        <f>DoTHaunt/DoTDurHaunt/TRateHaunt*(TRateHaunt*IF($F$8,2,1))*IF($F$9,40,DoTDurHaunt/IF($F$8,2,1))*(1+BonusCold/100)/100*DamMH*(1+BuffCC)*(1+(BuffAdd+$D$63)/100)*(1+BuffMulti/100)*(1+DamSplash)/INDEX(Reductions!$B$28:'Reductions'!$J$29,2,MATCH(CDSoulHarvest,Reductions!$B$28:'Reductions'!$J$28,0))</f>
        <v>1924001.9240019245</v>
      </c>
      <c r="J66" s="118">
        <f t="shared" si="13"/>
        <v>1.9240019240019242</v>
      </c>
    </row>
    <row r="67" spans="1:10" x14ac:dyDescent="0.2">
      <c r="A67" s="329" t="s">
        <v>217</v>
      </c>
      <c r="B67" s="329"/>
      <c r="C67" s="115">
        <f>(IF(bBuffJade2p,DoTHaunt/DoTDurHaunt*10,0)*IF($F$8,2,1))*(1+BonusCold/100)*(1+BuffCC)*(1+(BuffAdd+$D$63)/100)*(1+BuffMulti/100)</f>
        <v>0</v>
      </c>
      <c r="E67" s="115">
        <f>DoTHaunt/DoTDurHaunt*IF($F$8,2,1)*(1+BonusCold/100)*(1+BuffCC)*(1+(BuffAdd+$D$63)/100)*(1+BuffMulti/100)</f>
        <v>333.33333333333331</v>
      </c>
      <c r="F67" s="116">
        <f t="shared" si="11"/>
        <v>3.333333333333333</v>
      </c>
      <c r="G67" s="117">
        <f>(IF(bBuffJade2p,DoTHaunt/DoTDurHaunt*10,0)+DoTHaunt/DoTDurHaunt)*IF($F$8,2,1)*(1+BonusCold/100)/100*DamMH*(1+BuffCC)*(1+(BuffAdd+$D$63)/100)*(1+BuffMulti/100)</f>
        <v>2164502.1645021648</v>
      </c>
      <c r="H67" s="118">
        <f t="shared" si="12"/>
        <v>2.1645021645021645</v>
      </c>
      <c r="I67" s="119">
        <f>DoTHaunt/DoTDurHaunt/TRateHaunt*(TRateHaunt*IF($F$8,2,1))*IF($F$9,40,DoTDurHaunt/IF($F$8,2,1))*(1+BonusCold/100)/100*DamMH*(1+BuffCC)*(1+(BuffAdd+$D$63)/100)*(1+BuffMulti/100)*(1+DamSplash)/INDEX(Reductions!$B$28:'Reductions'!$J$29,2,MATCH(CDSoulHarvest,Reductions!$B$28:'Reductions'!$J$28,0))</f>
        <v>1924001.9240019245</v>
      </c>
      <c r="J67" s="118">
        <f t="shared" si="13"/>
        <v>1.9240019240019242</v>
      </c>
    </row>
    <row r="68" spans="1:10" x14ac:dyDescent="0.2">
      <c r="A68" s="331" t="s">
        <v>564</v>
      </c>
      <c r="B68" s="331"/>
      <c r="C68" s="115">
        <f>(IF(bBuffJade2p,DoTHaunt/DoTDurHaunt*10,0)*IF($F$8,2,1))*(1+BonusPoison/100)*(1+BuffCC)*(1+(BuffAdd+$D$63)/100)*(1+BuffMulti/100)</f>
        <v>0</v>
      </c>
      <c r="E68" s="115">
        <f>DoTHaunt/DoTDurHaunt*IF($F$8,2,1)*(1+BonusPoison/100)*(1+BuffCC)*(1+(BuffAdd+$D$63)/100)*(1+BuffMulti/100)</f>
        <v>333.33333333333331</v>
      </c>
      <c r="F68" s="116">
        <f t="shared" si="11"/>
        <v>3.333333333333333</v>
      </c>
      <c r="G68" s="117">
        <f>(IF(bBuffJade2p,DoTHaunt/DoTDurHaunt*10,0)+DoTHaunt/DoTDurHaunt)*IF($F$8,2,1)*(1+BonusPoison/100)/100*DamMH*(1+BuffCC)*(1+(BuffAdd+$D$63)/100)*(1+BuffMulti/100)</f>
        <v>2164502.1645021648</v>
      </c>
      <c r="H68" s="118">
        <f t="shared" si="12"/>
        <v>2.1645021645021645</v>
      </c>
      <c r="I68" s="119">
        <f>DoTHaunt/DoTDurHaunt/TRateHaunt*(TRateHaunt*IF($F$8,2,1))*IF($F$9,40,DoTDurHaunt/IF($F$8,2,1))*(1+BonusPoison/100)/100*DamMH*(1+BuffCC)*(1+(BuffAdd+$D$63)/100)*(1+BuffMulti/100)*(1+DamSplash)/INDEX(Reductions!$B$28:'Reductions'!$J$29,2,MATCH(CDSoulHarvest,Reductions!$B$28:'Reductions'!$J$28,0))</f>
        <v>1924001.9240019245</v>
      </c>
      <c r="J68" s="118">
        <f t="shared" si="13"/>
        <v>1.9240019240019242</v>
      </c>
    </row>
    <row r="69" spans="1:10" x14ac:dyDescent="0.2">
      <c r="A69" s="329" t="s">
        <v>218</v>
      </c>
      <c r="B69" s="329"/>
      <c r="C69" s="115">
        <f>(IF(bBuffJade2p,DoTHaunt/DoTDurHaunt*10,0)*IF($F$8,2,1))*(1+BonusCold/100)*(1+BuffCC)*(1+(BuffAdd+$D$63)/100)*(1+BuffMulti/100)</f>
        <v>0</v>
      </c>
      <c r="E69" s="115">
        <f>DoTHaunt/DoTDurHaunt*IF($F$8,2,1)*(1+BonusCold/100)*(1+BuffCC)*(1+(BuffAdd+$D$63)/100)*(1+BuffMulti/100)</f>
        <v>333.33333333333331</v>
      </c>
      <c r="F69" s="116">
        <f t="shared" si="11"/>
        <v>3.333333333333333</v>
      </c>
      <c r="G69" s="117">
        <f>(IF(bBuffJade2p,DoTHaunt/DoTDurHaunt*10,0)+DoTHaunt/DoTDurHaunt)*IF($F$8,2,1)*(1+BonusCold/100)/100*DamMH*(1+BuffCC)*(1+(BuffAdd+$D$63)/100)*(1+BuffMulti/100)</f>
        <v>2164502.1645021648</v>
      </c>
      <c r="H69" s="118">
        <f t="shared" si="12"/>
        <v>2.1645021645021645</v>
      </c>
      <c r="I69" s="119">
        <f>DoTHaunt/DoTDurHaunt/TRateHaunt*(TRateHaunt*IF($F$8,2,1))*IF($F$9,40,DoTDurHaunt/IF($F$8,2,1))*(1+BonusCold/100)/100*DamMH*(1+BuffCC)*(1+(BuffAdd+$D$63)/100)*(1+BuffMulti/100)*(1+DamSplash)/INDEX(Reductions!$B$28:'Reductions'!$J$29,2,MATCH(CDSoulHarvest,Reductions!$B$28:'Reductions'!$J$28,0))</f>
        <v>1924001.9240019245</v>
      </c>
      <c r="J69" s="118">
        <f t="shared" si="13"/>
        <v>1.9240019240019242</v>
      </c>
    </row>
    <row r="70" spans="1:10" x14ac:dyDescent="0.2">
      <c r="F70" s="87"/>
      <c r="G70" s="113"/>
      <c r="H70" s="87"/>
      <c r="I70" s="119"/>
      <c r="J70" s="87"/>
    </row>
    <row r="71" spans="1:10" x14ac:dyDescent="0.2">
      <c r="A71" s="324" t="s">
        <v>222</v>
      </c>
      <c r="B71" s="324"/>
      <c r="C71" s="94" t="s">
        <v>379</v>
      </c>
      <c r="D71" s="215">
        <v>0</v>
      </c>
      <c r="E71" s="94"/>
      <c r="F71" s="120"/>
      <c r="G71" s="113"/>
      <c r="H71" s="87"/>
      <c r="I71" s="119"/>
      <c r="J71" s="87"/>
    </row>
    <row r="72" spans="1:10" x14ac:dyDescent="0.2">
      <c r="A72" s="336"/>
      <c r="B72" s="336"/>
      <c r="E72" s="115">
        <f>DoTLocustSwarm/DoTDurLocustSwarm*IF($F$8,2,1)*(1+BonusPoison/100)*(1+BuffCC)*(1+(BuffAdd+$D$71)/100)*(1+BuffMulti/100)*(1+DamSplash)</f>
        <v>130</v>
      </c>
      <c r="F72" s="116">
        <f t="shared" ref="F72" si="14">((C72+D72)/APS+E72)/100</f>
        <v>1.3</v>
      </c>
      <c r="G72" s="117">
        <f>DoTLocustSwarm/DoTDurLocustSwarm*IF($F$8,2,1)*(1+BonusPoison/100)/100*DamMH*(1+BuffCC)*(1+(BuffAdd+$D$71)/100)*(1+BuffMulti/100)*(1+DamSplash)</f>
        <v>844155.8441558443</v>
      </c>
      <c r="H72" s="118">
        <f t="shared" ref="H72" si="15">G72/$B$2</f>
        <v>0.84415584415584421</v>
      </c>
      <c r="I72" s="119">
        <f>DoTLocustSwarm/DoTDurLocustSwarm/TRateLocustSwarm*(TRateLocustSwarm*IF($F$8,2,1))*IF($F$9,40,DoTDurLocustSwarm/IF($F$8,2,1))*(1+BonusPoison/100)/100*DamMH*(1+BuffCC)*(1+(BuffAdd+$D$71)/100)*(1+BuffMulti/100)*(1+DamSplash)/INDEX(Reductions!$B$28:'Reductions'!$J$29,2,MATCH(CDSoulHarvest,Reductions!$B$28:'Reductions'!$J$28,0))</f>
        <v>500240.50024050032</v>
      </c>
      <c r="J72" s="118">
        <f t="shared" ref="J72" si="16">I72/$B$2</f>
        <v>0.50024050024050026</v>
      </c>
    </row>
    <row r="73" spans="1:10" x14ac:dyDescent="0.2">
      <c r="A73" s="331" t="s">
        <v>223</v>
      </c>
      <c r="B73" s="331"/>
      <c r="E73" s="115">
        <f>DoTLocustSwarm/DoTDurLocustSwarm*IF($F$8,2,1)*(1+BonusPoison/100)*(1+BuffCC)*(1+(BuffAdd+$D$71)/100)*(1+BuffMulti/100)*(1+DamSplash)</f>
        <v>130</v>
      </c>
      <c r="F73" s="116">
        <f t="shared" ref="F73:F77" si="17">((C73+D73)/APS+E73)/100</f>
        <v>1.3</v>
      </c>
      <c r="G73" s="117">
        <f>DoTLocustSwarm/DoTDurLocustSwarm*IF($F$8,2,1)*(1+BonusPoison/100)/100*DamMH*(1+BuffCC)*(1+(BuffAdd+$D$71)/100)*(1+BuffMulti/100)*(1+DamSplash)</f>
        <v>844155.8441558443</v>
      </c>
      <c r="H73" s="118">
        <f t="shared" ref="H73:H77" si="18">G73/$B$2</f>
        <v>0.84415584415584421</v>
      </c>
      <c r="I73" s="119">
        <f>DoTLocustSwarm/DoTDurLocustSwarm/TRateLocustSwarm*(TRateLocustSwarm*IF($F$8,2,1))*IF($F$9,40,DoTDurLocustSwarm/IF($F$8,2,1))*(1+BonusPoison/100)/100*DamMH*(1+BuffCC)*(1+(BuffAdd+$D$71)/100)*(1+BuffMulti/100)*(1+DamSplash)/INDEX(Reductions!$B$28:'Reductions'!$J$29,2,MATCH(CDSoulHarvest,Reductions!$B$28:'Reductions'!$J$28,0))</f>
        <v>500240.50024050032</v>
      </c>
      <c r="J73" s="118">
        <f t="shared" ref="J73:J77" si="19">I73/$B$2</f>
        <v>0.50024050024050026</v>
      </c>
    </row>
    <row r="74" spans="1:10" x14ac:dyDescent="0.2">
      <c r="A74" s="331" t="s">
        <v>224</v>
      </c>
      <c r="B74" s="331"/>
      <c r="E74" s="115">
        <f>DoTLocustSwarm/DoTDurLocustSwarm*IF($F$8,2,1)*(1+BonusPoison/100)*(1+BuffCC)*(1+(BuffAdd+$D$71)/100)*(1+BuffMulti/100)*(1+DamSplash)</f>
        <v>130</v>
      </c>
      <c r="F74" s="116">
        <f t="shared" si="17"/>
        <v>1.3</v>
      </c>
      <c r="G74" s="117">
        <f>DoTLocustSwarm/DoTDurLocustSwarm*IF($F$8,2,1)*(1+BonusPoison/100)/100*DamMH*(1+BuffCC)*(1+(BuffAdd+$D$71)/100)*(1+BuffMulti/100)*(1+DamSplash)</f>
        <v>844155.8441558443</v>
      </c>
      <c r="H74" s="118">
        <f t="shared" si="18"/>
        <v>0.84415584415584421</v>
      </c>
      <c r="I74" s="119">
        <f>DoTLocustSwarm/DoTDurLocustSwarm/TRateLocustSwarm*(TRateLocustSwarm*IF($F$8,2,1))*IF($F$9,40,DoTDurLocustSwarm/IF($F$8,2,1))*(1+BonusPoison/100)/100*DamMH*(1+BuffCC)*(1+(BuffAdd+$D$71)/100)*(1+BuffMulti/100)*(1+DamSplash)/INDEX(Reductions!$B$28:'Reductions'!$J$29,2,MATCH(CDSoulHarvest,Reductions!$B$28:'Reductions'!$J$28,0))</f>
        <v>500240.50024050032</v>
      </c>
      <c r="J74" s="118">
        <f t="shared" si="19"/>
        <v>0.50024050024050026</v>
      </c>
    </row>
    <row r="75" spans="1:10" x14ac:dyDescent="0.2">
      <c r="A75" s="331" t="s">
        <v>225</v>
      </c>
      <c r="B75" s="331"/>
      <c r="E75" s="115">
        <f>DoTLocustSwarmCloud/DoTDurLocustSwarmCloud*IF($F$8,2,1)*(1+BonusPoison/100)*(1+BuffCC)*(1+(BuffAdd+$D$71)/100)*(1+BuffMulti/100)*(1+DamSplash)</f>
        <v>130</v>
      </c>
      <c r="F75" s="116">
        <f t="shared" si="17"/>
        <v>1.3</v>
      </c>
      <c r="G75" s="117">
        <f>DoTLocustSwarmCloud/DoTDurLocustSwarmCloud*IF($F$8,2,1)*(1+BonusPoison/100)/100*DamMH*(1+BuffCC)*(1+(BuffAdd+$D$71)/100)*(1+BuffMulti/100)*(1+DamSplash)</f>
        <v>844155.8441558443</v>
      </c>
      <c r="H75" s="118">
        <f t="shared" si="18"/>
        <v>0.84415584415584421</v>
      </c>
      <c r="I75" s="119">
        <f>DoTLocustSwarmCloud/DoTDurLocustSwarmCloud/TRateLocustSwarm*(TRateLocustSwarm*IF($F$8,2,1))*IF($F$9,40,DoTDurLocustSwarmCloud/IF($F$8,2,1))*(1+BonusPoison/100)/100*DamMH*(1+BuffCC)*(1+(BuffAdd+$D$71)/100)*(1+BuffMulti/100)*(1+DamSplash)/INDEX(Reductions!$B$28:'Reductions'!$J$29,2,MATCH(CDSoulHarvest,Reductions!$B$28:'Reductions'!$J$28,0))</f>
        <v>1000481.0004810006</v>
      </c>
      <c r="J75" s="118">
        <f t="shared" si="19"/>
        <v>1.0004810004810005</v>
      </c>
    </row>
    <row r="76" spans="1:10" x14ac:dyDescent="0.2">
      <c r="A76" s="331" t="s">
        <v>226</v>
      </c>
      <c r="B76" s="331"/>
      <c r="E76" s="115">
        <f>DoTLocustSwarm/DoTDurLocustSwarm*IF($F$8,2,1)*(1+BonusPoison/100)*(1+BuffCC)*(1+(BuffAdd+$D$71)/100)*(1+BuffMulti/100)*(1+DamSplash)</f>
        <v>130</v>
      </c>
      <c r="F76" s="116">
        <f t="shared" si="17"/>
        <v>1.3</v>
      </c>
      <c r="G76" s="117">
        <f>DoTLocustSwarm/DoTDurLocustSwarm*IF($F$8,2,1)*(1+BonusPoison/100)/100*DamMH*(1+BuffCC)*(1+(BuffAdd+$D$71)/100)*(1+BuffMulti/100)*(1+DamSplash)</f>
        <v>844155.8441558443</v>
      </c>
      <c r="H76" s="118">
        <f t="shared" si="18"/>
        <v>0.84415584415584421</v>
      </c>
      <c r="I76" s="119">
        <f>DoTLocustSwarm/DoTDurLocustSwarm/TRateLocustSwarm*(TRateLocustSwarm*IF($F$8,2,1))*IF($F$9,40,DoTDurLocustSwarm/IF($F$8,2,1))*(1+BonusPoison/100)/100*DamMH*(1+BuffCC)*(1+(BuffAdd+$D$71)/100)*(1+BuffMulti/100)*(1+DamSplash)/INDEX(Reductions!$B$28:'Reductions'!$J$29,2,MATCH(CDSoulHarvest,Reductions!$B$28:'Reductions'!$J$28,0))</f>
        <v>500240.50024050032</v>
      </c>
      <c r="J76" s="118">
        <f t="shared" si="19"/>
        <v>0.50024050024050026</v>
      </c>
    </row>
    <row r="77" spans="1:10" x14ac:dyDescent="0.2">
      <c r="A77" s="330" t="s">
        <v>227</v>
      </c>
      <c r="B77" s="330"/>
      <c r="E77" s="115">
        <f>DoTLocustSwarmSearing/DoTDurLocustSwarm*IF($F$8,2,1)*(1+BonusFire/100)*(1+BuffCC)*(1+(BuffAdd+$D$71)/100)*(1+BuffMulti/100)*(1+DamSplash)</f>
        <v>185</v>
      </c>
      <c r="F77" s="116">
        <f t="shared" si="17"/>
        <v>1.85</v>
      </c>
      <c r="G77" s="117">
        <f>DoTLocustSwarmSearing/DoTDurLocustSwarm*IF($F$8,2,1)*(1+BonusFire/100)/100*DamMH*(1+BuffCC)*(1+(BuffAdd+$D$71)/100)*(1+BuffMulti/100)*(1+DamSplash)</f>
        <v>1201298.7012987016</v>
      </c>
      <c r="H77" s="118">
        <f t="shared" si="18"/>
        <v>1.2012987012987015</v>
      </c>
      <c r="I77" s="119">
        <f>DoTLocustSwarmSearing/DoTDurLocustSwarm/TRateLocustSwarm*(TRateLocustSwarm*IF($F$8,2,1))*IF($F$9,40,DoTDurLocustSwarm/IF($F$8,2,1))*(1+BonusFire/100)/100*DamMH*(1+BuffCC)*(1+(BuffAdd+$D$71)/100)*(1+BuffMulti/100)*(1+DamSplash)/INDEX(Reductions!$B$28:'Reductions'!$J$29,2,MATCH(CDSoulHarvest,Reductions!$B$28:'Reductions'!$J$28,0))</f>
        <v>711880.71188071207</v>
      </c>
      <c r="J77" s="118">
        <f t="shared" si="19"/>
        <v>0.711880711880712</v>
      </c>
    </row>
    <row r="78" spans="1:10" x14ac:dyDescent="0.2">
      <c r="F78" s="87"/>
      <c r="G78" s="113"/>
      <c r="H78" s="87"/>
      <c r="J78" s="87"/>
    </row>
    <row r="79" spans="1:10" x14ac:dyDescent="0.2">
      <c r="A79" s="324" t="s">
        <v>175</v>
      </c>
      <c r="B79" s="324"/>
      <c r="C79" s="94" t="s">
        <v>379</v>
      </c>
      <c r="D79" s="215">
        <v>0</v>
      </c>
      <c r="F79" s="87"/>
      <c r="G79" s="113"/>
      <c r="H79" s="87"/>
      <c r="J79" s="87"/>
    </row>
    <row r="80" spans="1:10" x14ac:dyDescent="0.2">
      <c r="A80" s="336"/>
      <c r="B80" s="336"/>
      <c r="C80" s="115">
        <f>DamPlagueToads*(1+BonusPoison/100)*(1+BuffCC)*(1+(BuffAdd+$D$79)/100)*(1+BuffMulti/100)</f>
        <v>190</v>
      </c>
      <c r="D80" s="115"/>
      <c r="E80" s="115"/>
      <c r="F80" s="116">
        <f t="shared" ref="F80" si="20">((C80+D80)/APS+E80)/100</f>
        <v>1.2337662337662336</v>
      </c>
      <c r="G80" s="117">
        <f>DamPlagueToads*(1+BonusPoison/100)/100*DamMH*(1+BuffCC)*(1+(BuffAdd+$D$79)/100)*(1+BuffMulti/100)*60/ROUNDDOWN(60/1/APS, 0)</f>
        <v>1948051.9480519479</v>
      </c>
      <c r="H80" s="118">
        <f>G80/$B$2</f>
        <v>1.9480519480519476</v>
      </c>
      <c r="J80" s="87"/>
    </row>
    <row r="81" spans="1:10" x14ac:dyDescent="0.2">
      <c r="A81" s="320" t="s">
        <v>177</v>
      </c>
      <c r="B81" s="320"/>
      <c r="C81" s="115">
        <f>DamPlagueToadsExplosive*(1+BonusFire/100)*(1+BuffCC)*(1+(BuffAdd+$D$79)/100)*(1+BuffMulti/100)</f>
        <v>245</v>
      </c>
      <c r="D81" s="115"/>
      <c r="E81" s="115"/>
      <c r="F81" s="116">
        <f t="shared" ref="F81:F85" si="21">((C81+D81)/APS+E81)/100</f>
        <v>1.5909090909090908</v>
      </c>
      <c r="G81" s="117">
        <f>DamPlagueToadsExplosive*(1+BonusFire/100)/100*DamMH*(1+BuffCC)*(1+(BuffAdd+$D$79)/100)*(1+BuffMulti/100)*60/ROUNDDOWN(60/1/APS, 0)</f>
        <v>2511961.7224880392</v>
      </c>
      <c r="H81" s="118">
        <f t="shared" ref="H81:H85" si="22">G81/$B$2</f>
        <v>2.5119617224880391</v>
      </c>
      <c r="J81" s="87"/>
    </row>
    <row r="82" spans="1:10" x14ac:dyDescent="0.2">
      <c r="A82" s="334" t="s">
        <v>178</v>
      </c>
      <c r="B82" s="334"/>
      <c r="C82" s="115">
        <f>DamPlagueToadsPiercing*(1+BonusPoison/100)*(1+BuffCC)*(1+(BuffAdd+$D$79)/100)*(1+BuffMulti/100)*(1+DamSplash)</f>
        <v>130</v>
      </c>
      <c r="D82" s="115"/>
      <c r="E82" s="115"/>
      <c r="F82" s="116">
        <f t="shared" si="21"/>
        <v>0.84415584415584421</v>
      </c>
      <c r="G82" s="117">
        <f>DamPlagueToadsPiercing*(1+BonusPoison/100)/100*DamMH*(1+BuffCC)*(1+(BuffAdd+$D$79)/100)*(1+BuffMulti/100)*(1+DamSplash)*60/ROUNDDOWN(60/1/APS, 0)</f>
        <v>1332877.6486671225</v>
      </c>
      <c r="H82" s="118">
        <f t="shared" si="22"/>
        <v>1.3328776486671223</v>
      </c>
      <c r="J82" s="87"/>
    </row>
    <row r="83" spans="1:10" x14ac:dyDescent="0.2">
      <c r="A83" s="334" t="s">
        <v>180</v>
      </c>
      <c r="B83" s="334"/>
      <c r="C83" s="115"/>
      <c r="D83" s="115">
        <f>DoTPlagueToadsRain/DoTDurPlagueToadsRain*(1+BonusPoison/100)*(1+BuffCC)*(1+(BuffAdd+$D$79)/100)*(1+BuffMulti/100)*(1+DamSplash)</f>
        <v>91</v>
      </c>
      <c r="E83" s="115"/>
      <c r="F83" s="116">
        <f t="shared" si="21"/>
        <v>0.59090909090909083</v>
      </c>
      <c r="G83" s="117">
        <f>DoTPlagueToadsRain/DoTDurPlagueToadsRain*(1+BonusPoison/100)/100*DamMH*(1+BuffCC)*(1+(BuffAdd+$D$79)/100)*(1+BuffMulti/100)*(1+DamSplash)*60/ROUNDDOWN(60/1/APS, 0)</f>
        <v>933014.35406698578</v>
      </c>
      <c r="H83" s="118">
        <f t="shared" si="22"/>
        <v>0.93301435406698563</v>
      </c>
      <c r="I83" s="119"/>
      <c r="J83" s="118"/>
    </row>
    <row r="84" spans="1:10" x14ac:dyDescent="0.2">
      <c r="A84" s="334" t="s">
        <v>181</v>
      </c>
      <c r="B84" s="334"/>
      <c r="C84" s="115">
        <f>DamPlagueToads*(1+BonusPoison/100)*(1+BuffCC)*(1+(BuffAdd+$D$79)/100)*(1+BuffMulti/100)</f>
        <v>190</v>
      </c>
      <c r="D84" s="115"/>
      <c r="E84" s="115"/>
      <c r="F84" s="116">
        <f t="shared" si="21"/>
        <v>1.2337662337662336</v>
      </c>
      <c r="G84" s="117">
        <f>DamPlagueToads*(1+BonusPoison/100)/100*DamMH*(1+BuffCC)*(1+(BuffAdd+$D$79)/100)*(1+BuffMulti/100)*60/ROUNDDOWN(60/1/APS, 0)</f>
        <v>1948051.9480519479</v>
      </c>
      <c r="H84" s="118">
        <f t="shared" si="22"/>
        <v>1.9480519480519476</v>
      </c>
      <c r="J84" s="87"/>
    </row>
    <row r="85" spans="1:10" x14ac:dyDescent="0.2">
      <c r="A85" s="334" t="s">
        <v>183</v>
      </c>
      <c r="B85" s="334"/>
      <c r="C85" s="115">
        <f>DamPlagueToads*(1+BonusPoison/100)*(1+BuffCC)*(1+(BuffAdd+$D$79)/100)*(1+BuffMulti/100)</f>
        <v>190</v>
      </c>
      <c r="D85" s="115"/>
      <c r="E85" s="115"/>
      <c r="F85" s="116">
        <f t="shared" si="21"/>
        <v>1.2337662337662336</v>
      </c>
      <c r="G85" s="117">
        <f>DamPlagueToads*(1+BonusPoison/100)/100*DamMH*(1+BuffCC)*(1+(BuffAdd+$D$79)/100)*(1+BuffMulti/100)*60/ROUNDDOWN(60/1/APS, 0)</f>
        <v>1948051.9480519479</v>
      </c>
      <c r="H85" s="118">
        <f t="shared" si="22"/>
        <v>1.9480519480519476</v>
      </c>
      <c r="J85" s="87"/>
    </row>
    <row r="86" spans="1:10" x14ac:dyDescent="0.2">
      <c r="F86" s="87"/>
      <c r="G86" s="113"/>
      <c r="H86" s="87"/>
      <c r="J86" s="87"/>
    </row>
    <row r="87" spans="1:10" x14ac:dyDescent="0.2">
      <c r="A87" s="324" t="s">
        <v>185</v>
      </c>
      <c r="B87" s="324"/>
      <c r="C87" s="94" t="s">
        <v>379</v>
      </c>
      <c r="D87" s="215">
        <v>0</v>
      </c>
      <c r="F87" s="87"/>
      <c r="G87" s="113"/>
      <c r="H87" s="87"/>
      <c r="J87" s="87"/>
    </row>
    <row r="88" spans="1:10" x14ac:dyDescent="0.2">
      <c r="A88" s="336"/>
      <c r="B88" s="336"/>
      <c r="C88" s="115">
        <f>DamPoisonDart*(1+BonusPoison/100)*(1+BuffCC)*(1+(BuffAdd+$D$87)/100)*(1+BuffMulti/100)</f>
        <v>185</v>
      </c>
      <c r="D88" s="115">
        <f>DoTPoisonDart/DoTDurPoisonDart*(1+BonusPoison/100)*(1+BuffCC)*(1+(BuffAdd+$D$87)/100)*(1+BuffMulti/100)</f>
        <v>13.333333333333334</v>
      </c>
      <c r="E88" s="115"/>
      <c r="F88" s="116">
        <f t="shared" ref="F88" si="23">((C88+D88)/APS+E88)/100</f>
        <v>1.2878787878787878</v>
      </c>
      <c r="G88" s="117">
        <f>(DamPoisonDart+DoTPoisonDart)*(1+BonusPoison/100)/100*DamMH*(1+BuffCC)*(1+(BuffAdd+$D$87)/100)*(1+BuffMulti/100)*60/ROUNDDOWN(60/1/APS, 0)</f>
        <v>2306903.6226930968</v>
      </c>
      <c r="H88" s="118">
        <f>G88/$B$2</f>
        <v>2.3069036226930963</v>
      </c>
      <c r="I88" s="82">
        <f>DoTPoisonDart*(1+BonusPoison/100)/100*DamMH*(1+BuffCC)*(1+(BuffAdd+$D$87)/100)*(1+BuffMulti/100)*(1+DamSplash)/INDEX(Reductions!$B$28:'Reductions'!$J$29,2,MATCH(CDSoulHarvest,Reductions!$B$28:'Reductions'!$J$28,0))</f>
        <v>19240.019240019243</v>
      </c>
      <c r="J88" s="118">
        <f t="shared" ref="J88" si="24">I88/$B$2</f>
        <v>1.9240019240019241E-2</v>
      </c>
    </row>
    <row r="89" spans="1:10" x14ac:dyDescent="0.2">
      <c r="A89" s="334" t="s">
        <v>149</v>
      </c>
      <c r="B89" s="334"/>
      <c r="C89" s="115">
        <f>DamPoisonDartSplinters*3*(1+BonusPoison/100)*(1+BuffCC)*(1+(BuffAdd+$D$87)/100)*(1+BuffMulti/100)</f>
        <v>315</v>
      </c>
      <c r="D89" s="115"/>
      <c r="E89" s="115"/>
      <c r="F89" s="116">
        <f t="shared" ref="F89:F93" si="25">((C89+D89)/APS+E89)/100</f>
        <v>2.0454545454545454</v>
      </c>
      <c r="G89" s="117">
        <f>DamPoisonDartSplinters*3*(1+BonusPoison/100)/100*DamMH*(1+BuffCC)*(1+(BuffAdd+$D$87)/100)*(1+BuffMulti/100)*60/ROUNDDOWN(60/1/APS, 0)</f>
        <v>3229665.0717703351</v>
      </c>
      <c r="H89" s="118">
        <f t="shared" ref="H89:H93" si="26">G89/$B$2</f>
        <v>3.2296650717703348</v>
      </c>
      <c r="J89" s="87"/>
    </row>
    <row r="90" spans="1:10" x14ac:dyDescent="0.2">
      <c r="A90" s="334" t="s">
        <v>187</v>
      </c>
      <c r="B90" s="334"/>
      <c r="C90" s="115">
        <f>DamPoisonDart*(1+BonusPoison/100)*(1+BuffCC)*(1+(BuffAdd+$D$87)/100)*(1+BuffMulti/100)</f>
        <v>185</v>
      </c>
      <c r="D90" s="115">
        <f>DoTPoisonDart/DoTDurPoisonDart*(1+BonusPoison/100)*(1+BuffCC)*(1+(BuffAdd+$D$87)/100)*(1+BuffMulti/100)</f>
        <v>13.333333333333334</v>
      </c>
      <c r="E90" s="115"/>
      <c r="F90" s="116">
        <f t="shared" si="25"/>
        <v>1.2878787878787878</v>
      </c>
      <c r="G90" s="117">
        <f>(DamPoisonDart+DoTPoisonDart)*(1+BonusPoison/100)/100*DamMH*(1+BuffCC)*(1+(BuffAdd+$D$87)/100)*(1+BuffMulti/100)*60/ROUNDDOWN(60/1/APS, 0)</f>
        <v>2306903.6226930968</v>
      </c>
      <c r="H90" s="118">
        <f t="shared" si="26"/>
        <v>2.3069036226930963</v>
      </c>
      <c r="I90" s="82">
        <f>DoTPoisonDart*(1+BonusPoison/100)/100*DamMH*(1+BuffCC)*(1+(BuffAdd+$D$87)/100)*(1+BuffMulti/100)*(1+DamSplash)/INDEX(Reductions!$B$28:'Reductions'!$J$29,2,MATCH(CDSoulHarvest,Reductions!$B$28:'Reductions'!$J$28,0))</f>
        <v>19240.019240019243</v>
      </c>
      <c r="J90" s="118">
        <f t="shared" ref="J90:J93" si="27">I90/$B$2</f>
        <v>1.9240019240019241E-2</v>
      </c>
    </row>
    <row r="91" spans="1:10" x14ac:dyDescent="0.2">
      <c r="A91" s="334" t="s">
        <v>189</v>
      </c>
      <c r="B91" s="334"/>
      <c r="C91" s="115">
        <f>DamPoisonDart*(1+BonusPoison/100)*(1+BuffCC)*(1+(BuffAdd+$D$87)/100)*(1+BuffMulti/100)</f>
        <v>185</v>
      </c>
      <c r="D91" s="115">
        <f>DoTPoisonDart/DoTDurPoisonDart*(1+BonusPoison/100)*(1+BuffCC)*(1+(BuffAdd+$D$87)/100)*(1+BuffMulti/100)</f>
        <v>13.333333333333334</v>
      </c>
      <c r="E91" s="115"/>
      <c r="F91" s="116">
        <f t="shared" si="25"/>
        <v>1.2878787878787878</v>
      </c>
      <c r="G91" s="117">
        <f>(DamPoisonDart+DoTPoisonDart)*(1+BonusPoison/100)/100*DamMH*(1+BuffCC)*(1+(BuffAdd+$D$87)/100)*(1+BuffMulti/100)*60/ROUNDDOWN(60/1/APS, 0)</f>
        <v>2306903.6226930968</v>
      </c>
      <c r="H91" s="118">
        <f t="shared" si="26"/>
        <v>2.3069036226930963</v>
      </c>
      <c r="I91" s="82">
        <f>DoTPoisonDart*(1+BonusPoison/100)/100*DamMH*(1+BuffCC)*(1+(BuffAdd+$D$87)/100)*(1+BuffMulti/100)*(1+DamSplash)/INDEX(Reductions!$B$28:'Reductions'!$J$29,2,MATCH(CDSoulHarvest,Reductions!$B$28:'Reductions'!$J$28,0))</f>
        <v>19240.019240019243</v>
      </c>
      <c r="J91" s="118">
        <f t="shared" si="27"/>
        <v>1.9240019240019241E-2</v>
      </c>
    </row>
    <row r="92" spans="1:10" x14ac:dyDescent="0.2">
      <c r="A92" s="320" t="s">
        <v>190</v>
      </c>
      <c r="B92" s="320"/>
      <c r="C92" s="115"/>
      <c r="D92" s="115">
        <f>DoTPoisonDartFlaming/DoTDurPoisonDart*(1+BonusFire/100)*(1+BuffCC)*(1+(BuffAdd+$D$87)/100)*(1+BuffMulti/100)</f>
        <v>141.66666666666666</v>
      </c>
      <c r="E92" s="115"/>
      <c r="F92" s="116">
        <f t="shared" si="25"/>
        <v>0.91991341991341979</v>
      </c>
      <c r="G92" s="117">
        <f>DoTPoisonDartFlaming*(1+BonusFire/100)/100*DamMH*(1+BuffCC)*(1+(BuffAdd+$D$87)/100)*(1+BuffMulti/100)*60/ROUNDDOWN(60/1/APS, 0)</f>
        <v>4357484.6206425158</v>
      </c>
      <c r="H92" s="118">
        <f t="shared" si="26"/>
        <v>4.3574846206425155</v>
      </c>
      <c r="I92" s="82">
        <f>DoTPoisonDartFlaming*(1+BonusFire/100)/100*DamMH*(1+BuffCC)*(1+(BuffAdd+$D$87)/100)*(1+BuffMulti/100)*(1+DamSplash)/INDEX(Reductions!$B$28:'Reductions'!$J$29,2,MATCH(CDSoulHarvest,Reductions!$B$28:'Reductions'!$J$28,0))</f>
        <v>204425.20442520443</v>
      </c>
      <c r="J92" s="118">
        <f t="shared" si="27"/>
        <v>0.2044252044252044</v>
      </c>
    </row>
    <row r="93" spans="1:10" x14ac:dyDescent="0.2">
      <c r="A93" s="334" t="s">
        <v>191</v>
      </c>
      <c r="B93" s="334"/>
      <c r="C93" s="115">
        <f>DamPoisonDart*(1+BonusPoison/100)*(1+BuffCC)*(1+(BuffAdd+$D$87)/100)*(1+BuffMulti/100)</f>
        <v>185</v>
      </c>
      <c r="D93" s="115">
        <f>DoTPoisonDart/DoTDurPoisonDart*(1+BonusPoison/100)*(1+BuffCC)*(1+(BuffAdd+$D$87)/100)*(1+BuffMulti/100)</f>
        <v>13.333333333333334</v>
      </c>
      <c r="E93" s="115"/>
      <c r="F93" s="116">
        <f t="shared" si="25"/>
        <v>1.2878787878787878</v>
      </c>
      <c r="G93" s="117">
        <f>(DamPoisonDart+DoTPoisonDart)*(1+BonusPoison/100)/100*DamMH*(1+BuffCC)*(1+(BuffAdd+$D$87)/100)*(1+BuffMulti/100)*60/ROUNDDOWN(60/1/APS, 0)</f>
        <v>2306903.6226930968</v>
      </c>
      <c r="H93" s="118">
        <f t="shared" si="26"/>
        <v>2.3069036226930963</v>
      </c>
      <c r="I93" s="82">
        <f>DoTPoisonDart*(1+BonusPoison/100)/100*DamMH*(1+BuffCC)*(1+(BuffAdd+$D$87)/100)*(1+BuffMulti/100)*(1+DamSplash)/INDEX(Reductions!$B$28:'Reductions'!$J$29,2,MATCH(CDSoulHarvest,Reductions!$B$28:'Reductions'!$J$28,0))</f>
        <v>19240.019240019243</v>
      </c>
      <c r="J93" s="118">
        <f t="shared" si="27"/>
        <v>1.9240019240019241E-2</v>
      </c>
    </row>
    <row r="94" spans="1:10" x14ac:dyDescent="0.2">
      <c r="F94" s="87"/>
      <c r="G94" s="113"/>
      <c r="H94" s="87"/>
      <c r="J94" s="87"/>
    </row>
    <row r="95" spans="1:10" x14ac:dyDescent="0.2">
      <c r="A95" s="326" t="s">
        <v>278</v>
      </c>
      <c r="B95" s="326"/>
      <c r="C95" s="94" t="s">
        <v>379</v>
      </c>
      <c r="D95" s="215">
        <v>0</v>
      </c>
      <c r="F95" s="87"/>
      <c r="G95" s="113"/>
      <c r="H95" s="87"/>
      <c r="J95" s="87"/>
    </row>
    <row r="96" spans="1:10" x14ac:dyDescent="0.2">
      <c r="A96" s="328"/>
      <c r="B96" s="328"/>
      <c r="C96" s="115">
        <f>DamSacrifice*(1+BonusPhyscial/100)*(1+BuffCC)*(1+(BuffAdd+$D$95)/100)*(1+BuffMulti/100)*(1+DamSplash)</f>
        <v>185</v>
      </c>
      <c r="F96" s="116">
        <f t="shared" ref="F96" si="28">((C96+D96)/APS+E96)/100</f>
        <v>1.2012987012987013</v>
      </c>
      <c r="G96" s="117">
        <f>DamSacrifice*(1+BonusPhyscial/100)/100*DamMH*(1+BuffCC)*(1+(BuffAdd+$D$95)/100)*(1+BuffMulti/100)*(1+DamSplash)*60/ROUNDDOWN(60/1/APS, 0)</f>
        <v>1896787.4231032128</v>
      </c>
      <c r="H96" s="118">
        <f>G96/$B$2</f>
        <v>1.8967874231032127</v>
      </c>
      <c r="J96" s="87"/>
    </row>
    <row r="97" spans="1:10" x14ac:dyDescent="0.2">
      <c r="F97" s="87"/>
      <c r="G97" s="113"/>
      <c r="H97" s="87"/>
      <c r="J97" s="87"/>
    </row>
    <row r="98" spans="1:10" x14ac:dyDescent="0.2">
      <c r="A98" s="340" t="s">
        <v>309</v>
      </c>
      <c r="B98" s="340"/>
      <c r="C98" s="94" t="s">
        <v>379</v>
      </c>
      <c r="D98" s="215">
        <v>0</v>
      </c>
      <c r="E98" s="94" t="s">
        <v>436</v>
      </c>
      <c r="F98" s="216">
        <v>3</v>
      </c>
      <c r="G98" s="113"/>
      <c r="H98" s="87"/>
      <c r="J98" s="87"/>
    </row>
    <row r="99" spans="1:10" x14ac:dyDescent="0.2">
      <c r="A99" s="341"/>
      <c r="B99" s="341"/>
      <c r="C99" s="115">
        <f>DamSpiritBarrage*(1+BonusCold/100)*(1+BuffCC)*(1+(BuffAdd+$D$98)/100)*(1+BuffMulti/100)</f>
        <v>425</v>
      </c>
      <c r="F99" s="116">
        <f t="shared" ref="F99" si="29">((C99+D99)/APS+E99)/100</f>
        <v>2.7597402597402594</v>
      </c>
      <c r="G99" s="117">
        <f>DamSpiritBarrage*(1+BonusCold/100)/100*DamMH*(1+BuffCC)*(1+(BuffAdd+$D$98)/100)*(1+BuffMulti/100)*60/ROUNDDOWN(60/1/APS, 0)</f>
        <v>4357484.6206425158</v>
      </c>
      <c r="H99" s="118">
        <f>G99/$B$2</f>
        <v>4.3574846206425155</v>
      </c>
      <c r="J99" s="87"/>
    </row>
    <row r="100" spans="1:10" x14ac:dyDescent="0.2">
      <c r="A100" s="335" t="s">
        <v>311</v>
      </c>
      <c r="B100" s="335"/>
      <c r="C100" s="115">
        <f>DamSpiritBarrage*(1+BonusCold/100)*(1+BuffCC)*(1+(BuffAdd+$D$98)/100)*(1+BuffMulti/100)</f>
        <v>425</v>
      </c>
      <c r="F100" s="116">
        <f t="shared" ref="F100:F104" si="30">((C100+D100)/APS+E100)/100</f>
        <v>2.7597402597402594</v>
      </c>
      <c r="G100" s="117">
        <f>DamSpiritBarrage*(1+BonusCold/100)/100*DamMH*(1+BuffCC)*(1+(BuffAdd+$D$98)/100)*(1+BuffMulti/100)*60/ROUNDDOWN(60/1/APS, 0)</f>
        <v>4357484.6206425158</v>
      </c>
      <c r="H100" s="118">
        <f t="shared" ref="H100:H104" si="31">G100/$B$2</f>
        <v>4.3574846206425155</v>
      </c>
      <c r="J100" s="87"/>
    </row>
    <row r="101" spans="1:10" x14ac:dyDescent="0.2">
      <c r="A101" s="335" t="s">
        <v>312</v>
      </c>
      <c r="B101" s="335"/>
      <c r="C101" s="115">
        <f>(DamSpiritBarrage+Dam2SpiritBarrageWellSouls)*(1+BonusCold/100)*(1+BuffCC)*(1+(BuffAdd+$D$98)/100)*(1+BuffMulti/100)</f>
        <v>490</v>
      </c>
      <c r="F101" s="116">
        <f>((C101+D101)/APS+E101)/100</f>
        <v>3.1818181818181817</v>
      </c>
      <c r="G101" s="117">
        <f>(DamSpiritBarrage+Dam2SpiritBarrageWellSouls)*(1+BonusCold/100)/100*DamMH*(1+BuffCC)*(1+(BuffAdd+$D$98)/100)*(1+BuffMulti/100)*60/ROUNDDOWN(60/1/APS, 0)</f>
        <v>5023923.4449760783</v>
      </c>
      <c r="H101" s="118">
        <f t="shared" si="31"/>
        <v>5.0239234449760781</v>
      </c>
      <c r="J101" s="87"/>
    </row>
    <row r="102" spans="1:10" x14ac:dyDescent="0.2">
      <c r="A102" s="335" t="s">
        <v>435</v>
      </c>
      <c r="B102" s="335"/>
      <c r="D102" s="115">
        <f>DamSpiritBarrage/DoTDurSpiritBarragePhantasm*F98*(1+BonusCold/100)*(1+BuffCC)*(1+(BuffAdd+$D$98)/100)*(1+BuffMulti/100)*(1+DamSplash)</f>
        <v>255</v>
      </c>
      <c r="F102" s="116">
        <f>((C102+D102)/APS+E102)/100</f>
        <v>1.6558441558441559</v>
      </c>
      <c r="G102" s="117">
        <f>DoTSpiritBarragePhantasm/DoTDurSpiritBarragePhantasm*F98*(1+BonusCold/100)/100*DamMH*(1+BuffCC)*(1+(BuffAdd+$D$98)/100)*(1+BuffMulti/100)*(1+DamSplash)</f>
        <v>2629870.1298701302</v>
      </c>
      <c r="H102" s="118">
        <f t="shared" si="31"/>
        <v>2.6298701298701297</v>
      </c>
      <c r="J102" s="87"/>
    </row>
    <row r="103" spans="1:10" x14ac:dyDescent="0.2">
      <c r="A103" s="335" t="s">
        <v>314</v>
      </c>
      <c r="B103" s="335"/>
      <c r="C103" s="115">
        <f>DamSpiritBarrage*(1+BonusCold/100)*(1+BuffCC)*(1+(BuffAdd+$D$98)/100)*(1+BuffMulti/100)</f>
        <v>425</v>
      </c>
      <c r="F103" s="116">
        <f t="shared" si="30"/>
        <v>2.7597402597402594</v>
      </c>
      <c r="G103" s="117">
        <f>DamSpiritBarrage*(1+BonusCold/100)/100*DamMH*(1+BuffCC)*(1+(BuffAdd+$D$98)/100)*(1+BuffMulti/100)*60/ROUNDDOWN(60/1/APS, 0)</f>
        <v>4357484.6206425158</v>
      </c>
      <c r="H103" s="118">
        <f t="shared" si="31"/>
        <v>4.3574846206425155</v>
      </c>
      <c r="J103" s="87"/>
    </row>
    <row r="104" spans="1:10" x14ac:dyDescent="0.2">
      <c r="A104" s="335" t="s">
        <v>315</v>
      </c>
      <c r="B104" s="335"/>
      <c r="C104" s="115"/>
      <c r="E104" s="115">
        <f>DoTSpiritBarrageManitou/DoTDurSpiritBarrageManitou*(1+BonusCold/100)*(1+BuffCC)*(1+(BuffAdd+$D$98)/100)*(1+BuffMulti/100)</f>
        <v>145</v>
      </c>
      <c r="F104" s="116">
        <f t="shared" si="30"/>
        <v>1.45</v>
      </c>
      <c r="G104" s="117">
        <f>DoTSpiritBarrageManitou/DoTDurSpiritBarrageManitou*(1+BonusCold/100)/100*DamMH*(1+BuffCC)*(1+(BuffAdd+$D$98)/100)*(1+BuffMulti/100)</f>
        <v>941558.44155844161</v>
      </c>
      <c r="H104" s="118">
        <f t="shared" si="31"/>
        <v>0.94155844155844148</v>
      </c>
      <c r="J104" s="87"/>
    </row>
    <row r="105" spans="1:10" x14ac:dyDescent="0.2">
      <c r="F105" s="87"/>
      <c r="G105" s="113"/>
      <c r="H105" s="87"/>
      <c r="J105" s="87"/>
    </row>
    <row r="106" spans="1:10" x14ac:dyDescent="0.2">
      <c r="A106" s="296" t="s">
        <v>247</v>
      </c>
      <c r="B106" s="296"/>
      <c r="F106" s="87"/>
      <c r="G106" s="113"/>
      <c r="H106" s="87"/>
      <c r="J106" s="87"/>
    </row>
    <row r="107" spans="1:10" x14ac:dyDescent="0.2">
      <c r="A107" s="320" t="s">
        <v>254</v>
      </c>
      <c r="B107" s="320"/>
      <c r="E107" s="115">
        <f>DamSWUmbralShock*(1+BonusFire/100)*(1+BuffCC)*(1+(BuffAdd)/100)*(1+BuffMulti/100)*(1+DamSplash)/INDEX(Reductions!$B$28:'Reductions'!$J$29,2,MATCH(CDSW,Reductions!$B$28:'Reductions'!$J$28,0))</f>
        <v>69.444444444444443</v>
      </c>
      <c r="F107" s="116">
        <f t="shared" ref="F107" si="32">((C107+D107)/APS+E107)/100</f>
        <v>0.69444444444444442</v>
      </c>
      <c r="G107" s="117">
        <f>DamSWUmbralShock*(1+BonusFire/100)/100*DamMH*(1+BuffCC)*(1+(BuffAdd)/100)*(1+BuffMulti/100)*(1+DamSplash)/((CDSW-$D$13-IF($F$7,2,0))*(1-CDR/100))</f>
        <v>450937.95093795098</v>
      </c>
      <c r="H107" s="118">
        <f t="shared" ref="H107" si="33">G107/$B$2</f>
        <v>0.45093795093795092</v>
      </c>
      <c r="J107" s="87"/>
    </row>
    <row r="108" spans="1:10" x14ac:dyDescent="0.2">
      <c r="F108" s="87"/>
      <c r="G108" s="113"/>
      <c r="H108" s="87"/>
      <c r="J108" s="87"/>
    </row>
    <row r="109" spans="1:10" x14ac:dyDescent="0.2">
      <c r="A109" s="296" t="s">
        <v>269</v>
      </c>
      <c r="B109" s="296"/>
      <c r="F109" s="87"/>
      <c r="G109" s="113"/>
      <c r="H109" s="87"/>
      <c r="J109" s="87"/>
    </row>
    <row r="110" spans="1:10" x14ac:dyDescent="0.2">
      <c r="A110" s="333" t="s">
        <v>274</v>
      </c>
      <c r="B110" s="333"/>
      <c r="E110" s="115">
        <f>DamSoulHarvestVengeful*(1+BonusPhyscial/100)*(1+BuffCC)*(1+(BuffAdd)/100)*(1+BuffMulti/100)*(1+DamSplash)/INDEX(Reductions!$B$28:'Reductions'!$J$29,2,MATCH(CDSoulHarvest,Reductions!$B$28:'Reductions'!$J$28,0))</f>
        <v>46.666666666666664</v>
      </c>
      <c r="F110" s="116">
        <f t="shared" ref="F110" si="34">((C110+D110)/APS+E110)/100</f>
        <v>0.46666666666666662</v>
      </c>
      <c r="G110" s="117">
        <f>DamSoulHarvestVengeful*(1+BonusPhyscial/100)/100*DamMH*(1+BuffCC)*(1+(BuffAdd)/100)*(1+BuffMulti/100)*(1+DamSplash)/INDEX(Reductions!$B$28:'Reductions'!$J$29,2,MATCH(CDSoulHarvest,Reductions!$B$28:'Reductions'!$J$28,0))</f>
        <v>303030.30303030304</v>
      </c>
      <c r="H110" s="118">
        <f t="shared" ref="H110" si="35">G110/$B$2</f>
        <v>0.30303030303030298</v>
      </c>
      <c r="J110" s="87"/>
    </row>
    <row r="111" spans="1:10" x14ac:dyDescent="0.2">
      <c r="F111" s="87"/>
      <c r="G111" s="113"/>
      <c r="H111" s="87"/>
      <c r="J111" s="87"/>
    </row>
    <row r="112" spans="1:10" x14ac:dyDescent="0.2">
      <c r="A112" s="326" t="s">
        <v>330</v>
      </c>
      <c r="B112" s="326"/>
      <c r="C112" s="94" t="s">
        <v>379</v>
      </c>
      <c r="D112" s="215">
        <v>0</v>
      </c>
      <c r="E112" s="94" t="s">
        <v>457</v>
      </c>
      <c r="F112" s="216">
        <v>0</v>
      </c>
      <c r="G112" s="113"/>
      <c r="H112" s="87"/>
      <c r="J112" s="87"/>
    </row>
    <row r="113" spans="1:10" x14ac:dyDescent="0.2">
      <c r="A113" s="360"/>
      <c r="B113" s="360"/>
      <c r="D113" s="115">
        <f>DoTWoZ*(1+BonusPhyscial/100)*(1+BuffCC)*(1+(BuffAdd+$D$112)/100)*(1+BuffMulti/100)*(1+DamSplash)/INDEX(Reductions!$B$28:'Reductions'!$J$29,2,MATCH(CDWoZ,Reductions!$B$28:'Reductions'!$J$28,0))</f>
        <v>27.777777777777779</v>
      </c>
      <c r="F113" s="116">
        <f t="shared" ref="F113" si="36">((C113+D113)/APS+E113)/100</f>
        <v>0.18037518037518038</v>
      </c>
      <c r="G113" s="117">
        <f>DoTWoZ*(1+BonusPhyscial/100)/100*DamMH*(1+BuffCC)*(1+(BuffAdd+$D$112)/100)*(1+BuffMulti/100)*(1+DamSplash)/((CDWoZ-$D$13-$F$112)*(1-CDR/100))</f>
        <v>180375.18037518041</v>
      </c>
      <c r="H113" s="118">
        <f t="shared" ref="H113" si="37">G113/$B$2</f>
        <v>0.18037518037518038</v>
      </c>
      <c r="J113" s="87"/>
    </row>
    <row r="114" spans="1:10" x14ac:dyDescent="0.2">
      <c r="A114" s="333" t="s">
        <v>332</v>
      </c>
      <c r="B114" s="333"/>
      <c r="D114" s="115">
        <f>DoTWoZ*(1+BonusPhyscial/100)*(1+BuffCC)*(1+(BuffAdd+$D$112)/100)*(1+BuffMulti/100)*(1+DamSplash)/INDEX(Reductions!$B$28:'Reductions'!$J$29,2,MATCH(CDWoZ,Reductions!$B$28:'Reductions'!$J$28,0))</f>
        <v>27.777777777777779</v>
      </c>
      <c r="F114" s="116">
        <f t="shared" ref="F114:F118" si="38">((C114+D114)/APS+E114)/100</f>
        <v>0.18037518037518038</v>
      </c>
      <c r="G114" s="117">
        <f>DoTWoZ*(1+BonusPhyscial/100)/100*DamMH*(1+BuffCC)*(1+(BuffAdd+$D$112)/100)*(1+BuffMulti/100)*(1+DamSplash)/((CDWoZ-$D$13-$F$112)*(1-CDR/100))</f>
        <v>180375.18037518041</v>
      </c>
      <c r="H114" s="118">
        <f t="shared" ref="H114:H118" si="39">G114/$B$2</f>
        <v>0.18037518037518038</v>
      </c>
      <c r="J114" s="87"/>
    </row>
    <row r="115" spans="1:10" x14ac:dyDescent="0.2">
      <c r="A115" s="335" t="s">
        <v>333</v>
      </c>
      <c r="B115" s="335"/>
      <c r="D115" s="115">
        <f>DoTWoZ*(1+BonusCold/100)*(1+BuffCC)*(1+(BuffAdd+$D$112)/100)*(1+BuffMulti/100)*(1+DamSplash)/INDEX(Reductions!$B$28:'Reductions'!$J$29,2,MATCH(CDWoZ,Reductions!$B$28:'Reductions'!$J$28,0))</f>
        <v>27.777777777777779</v>
      </c>
      <c r="F115" s="116">
        <f t="shared" si="38"/>
        <v>0.18037518037518038</v>
      </c>
      <c r="G115" s="117">
        <f>DoTWoZ*(1+BonusCold/100)/100*DamMH*(1+BuffCC)*(1+(BuffAdd+$D$112)/100)*(1+BuffMulti/100)*(1+DamSplash)/((CDWoZ-$D$13-$F$112)*(1-CDR/100))</f>
        <v>180375.18037518041</v>
      </c>
      <c r="H115" s="118">
        <f t="shared" si="39"/>
        <v>0.18037518037518038</v>
      </c>
      <c r="J115" s="87"/>
    </row>
    <row r="116" spans="1:10" x14ac:dyDescent="0.2">
      <c r="A116" s="333" t="s">
        <v>334</v>
      </c>
      <c r="B116" s="333"/>
      <c r="D116" s="115">
        <f>DoTWoZ*(1+BonusPhyscial/100)*(1+BuffCC)*(1+(BuffAdd+$D$112)/100)*(1+BuffMulti/100)*(1+DamSplash)/INDEX(Reductions!$B$28:'Reductions'!$J$29,2,MATCH(CDWoZ,Reductions!$B$28:'Reductions'!$J$28,0))</f>
        <v>27.777777777777779</v>
      </c>
      <c r="F116" s="116">
        <f t="shared" si="38"/>
        <v>0.18037518037518038</v>
      </c>
      <c r="G116" s="117">
        <f>DoTWoZ*(1+BonusPhyscial/100)/100*DamMH*(1+BuffCC)*(1+(BuffAdd+$D$112)/100)*(1+BuffMulti/100)*(1+DamSplash)/((CDWoZ-$D$13-$F$112)*(1-CDR/100))</f>
        <v>180375.18037518041</v>
      </c>
      <c r="H116" s="118">
        <f t="shared" si="39"/>
        <v>0.18037518037518038</v>
      </c>
      <c r="J116" s="87"/>
    </row>
    <row r="117" spans="1:10" x14ac:dyDescent="0.2">
      <c r="A117" s="333" t="s">
        <v>335</v>
      </c>
      <c r="B117" s="333"/>
      <c r="D117" s="115">
        <f>DoTWoZ*(1+BonusPhyscial/100)*(1+BuffCC)*(1+(BuffAdd+$D$112)/100)*(1+BuffMulti/100)*(1+DamSplash)/INDEX(Reductions!$B$28:'Reductions'!$J$29,2,MATCH(CDWoZ,Reductions!$B$28:'Reductions'!$J$28,0))</f>
        <v>27.777777777777779</v>
      </c>
      <c r="F117" s="116">
        <f t="shared" si="38"/>
        <v>0.18037518037518038</v>
      </c>
      <c r="G117" s="117">
        <f>DoTWoZ*(1+BonusPhyscial/100)/100*DamMH*(1+BuffCC)*(1+(BuffAdd+$D$112)/100)*(1+BuffMulti/100)*(1+DamSplash)/((CDWoZ-$D$13-$F$112)*(1-CDR/100))</f>
        <v>180375.18037518041</v>
      </c>
      <c r="H117" s="118">
        <f t="shared" si="39"/>
        <v>0.18037518037518038</v>
      </c>
      <c r="J117" s="87"/>
    </row>
    <row r="118" spans="1:10" x14ac:dyDescent="0.2">
      <c r="A118" s="333" t="s">
        <v>336</v>
      </c>
      <c r="B118" s="333"/>
      <c r="D118" s="115">
        <f>DoTWoZ*(1+BonusPhyscial/100)*(1+BuffCC)*(1+(BuffAdd+$D$112)/100)*(1+BuffMulti/100)*(1+DamSplash)/INDEX(Reductions!$B$28:'Reductions'!$J$29,2,MATCH(CDWoZ,Reductions!$B$28:'Reductions'!$J$28,0))</f>
        <v>27.777777777777779</v>
      </c>
      <c r="F118" s="116">
        <f t="shared" si="38"/>
        <v>0.18037518037518038</v>
      </c>
      <c r="G118" s="117">
        <f>DoTWoZ*(1+BonusPhyscial/100)/100*DamMH*(1+BuffCC)*(1+(BuffAdd+$D$112)/100)*(1+BuffMulti/100)*(1+DamSplash)/((CDWoZ-$D$13-$F$112)*(1-CDR/100))</f>
        <v>180375.18037518041</v>
      </c>
      <c r="H118" s="118">
        <f t="shared" si="39"/>
        <v>0.18037518037518038</v>
      </c>
      <c r="J118" s="87"/>
    </row>
    <row r="119" spans="1:10" x14ac:dyDescent="0.2">
      <c r="F119" s="87"/>
      <c r="G119" s="113"/>
      <c r="H119" s="87"/>
      <c r="J119" s="87"/>
    </row>
    <row r="120" spans="1:10" x14ac:dyDescent="0.2">
      <c r="A120" s="324" t="s">
        <v>300</v>
      </c>
      <c r="B120" s="324"/>
      <c r="C120" s="94" t="s">
        <v>379</v>
      </c>
      <c r="D120" s="215">
        <v>0</v>
      </c>
      <c r="F120" s="87"/>
      <c r="G120" s="113"/>
      <c r="H120" s="87"/>
      <c r="J120" s="87"/>
    </row>
    <row r="121" spans="1:10" x14ac:dyDescent="0.2">
      <c r="A121" s="336"/>
      <c r="B121" s="336"/>
      <c r="C121" s="115">
        <f>DamZCharger*(1+BonusPoison/100)*(1+BuffCC)*(1+(BuffAdd+$D$120)/100)*(1+BuffMulti/100)*(1+DamSplash)</f>
        <v>560</v>
      </c>
      <c r="F121" s="116">
        <f t="shared" ref="F121:F126" si="40">((C121+D121)/APS+E121)/100</f>
        <v>3.6363636363636362</v>
      </c>
      <c r="G121" s="117">
        <f>DamZCharger*(1+BonusPoison/100)/100*DamMH*(1+BuffCC)*(1+(BuffAdd+$D$120)/100)*(1+BuffMulti/100)*(1+DamSplash)*60/ROUNDDOWN(60/1/APS, 0)</f>
        <v>5741626.7942583738</v>
      </c>
      <c r="H121" s="118">
        <f>G121/$B$2</f>
        <v>5.741626794258373</v>
      </c>
      <c r="J121" s="87"/>
    </row>
    <row r="122" spans="1:10" x14ac:dyDescent="0.2">
      <c r="A122" s="331" t="s">
        <v>301</v>
      </c>
      <c r="B122" s="331"/>
      <c r="C122" s="115">
        <f>DamZChargerPileOn*(1+BonusPoison/100)*(1+BuffCC)*(1+(BuffAdd+$D$120)/100)*(1+BuffMulti/100)*(1+DamSplash)</f>
        <v>800</v>
      </c>
      <c r="F122" s="116">
        <f t="shared" si="40"/>
        <v>5.1948051948051948</v>
      </c>
      <c r="G122" s="117">
        <f>DamZChargerPileOn*(1+BonusPoison/100)/100*DamMH*(1+BuffCC)*(1+(BuffAdd+$D$120)/100)*(1+BuffMulti/100)*(1+DamSplash)*60/ROUNDDOWN(60/1/APS, 0)</f>
        <v>8202323.9917976782</v>
      </c>
      <c r="H122" s="118">
        <f>G122/$B$2</f>
        <v>8.2023239917976767</v>
      </c>
      <c r="J122" s="87"/>
    </row>
    <row r="123" spans="1:10" x14ac:dyDescent="0.2">
      <c r="A123" s="334" t="s">
        <v>302</v>
      </c>
      <c r="B123" s="334"/>
      <c r="C123" s="115">
        <f>DamZCharger*(1+BonusPoison/100)*(1+BuffCC)*(1+(BuffAdd+$D$120)/100)*(1+BuffMulti/100)*(1+DamSplash)</f>
        <v>560</v>
      </c>
      <c r="F123" s="116">
        <f t="shared" si="40"/>
        <v>3.6363636363636362</v>
      </c>
      <c r="G123" s="117">
        <f>DamZCharger*(1+BonusPoison/100)/100*DamMH*(1+BuffCC)*(1+(BuffAdd+$D$120)/100)*(1+BuffMulti/100)*(1+DamSplash)*60/ROUNDDOWN(60/1/APS, 0)</f>
        <v>5741626.7942583738</v>
      </c>
      <c r="H123" s="118">
        <f t="shared" ref="H123:H125" si="41">G123/$B$2</f>
        <v>5.741626794258373</v>
      </c>
      <c r="J123" s="87"/>
    </row>
    <row r="124" spans="1:10" x14ac:dyDescent="0.2">
      <c r="A124" s="335" t="s">
        <v>303</v>
      </c>
      <c r="B124" s="335"/>
      <c r="C124" s="115">
        <f>DamZChargerLumberingCold*(1+BonusCold/100)*(1+BuffCC)*(1+(BuffAdd+$D$120)/100)*(1+BuffMulti/100)*(1+DamSplash)</f>
        <v>196</v>
      </c>
      <c r="F124" s="116">
        <f t="shared" si="40"/>
        <v>1.2727272727272727</v>
      </c>
      <c r="G124" s="117">
        <f>DamZChargerLumberingCold*(1+BonusCold/100)/100*DamMH*(1+BuffCC)*(1+(BuffAdd+$D$120)/100)*(1+BuffMulti/100)*(1+DamSplash)*60/ROUNDDOWN(60/1/APS, 0)</f>
        <v>2009569.3779904309</v>
      </c>
      <c r="H124" s="118">
        <f t="shared" si="41"/>
        <v>2.0095693779904309</v>
      </c>
      <c r="J124" s="87"/>
    </row>
    <row r="125" spans="1:10" x14ac:dyDescent="0.2">
      <c r="A125" s="320" t="s">
        <v>304</v>
      </c>
      <c r="B125" s="320"/>
      <c r="C125" s="115">
        <f>DamZChargerExplosiveBeast*(1+BonusFire/100)*(1+BuffCC)*(1+(BuffAdd+$D$120)/100)*(1+BuffMulti/100)*(1+DamSplash)</f>
        <v>532</v>
      </c>
      <c r="F125" s="116">
        <f t="shared" si="40"/>
        <v>3.4545454545454546</v>
      </c>
      <c r="G125" s="117">
        <f>DamZChargerExplosiveBeast*(1+BonusFire/100)/100*DamMH*(1+BuffCC)*(1+(BuffAdd+$D$120)/100)*(1+BuffMulti/100)*(1+DamSplash)*60/ROUNDDOWN(60/1/APS, 0)</f>
        <v>5454545.454545456</v>
      </c>
      <c r="H125" s="118">
        <f t="shared" si="41"/>
        <v>5.454545454545455</v>
      </c>
      <c r="J125" s="87"/>
    </row>
    <row r="126" spans="1:10" x14ac:dyDescent="0.2">
      <c r="A126" s="334" t="s">
        <v>305</v>
      </c>
      <c r="B126" s="334"/>
      <c r="C126" s="115">
        <f>DamZChargerBears*F127*(1+BonusPoison/100)*(1+BuffCC)*(1+(BuffAdd+$D$120)/100)*(1+BuffMulti/100)*(1+DamSplash)</f>
        <v>588</v>
      </c>
      <c r="D126" s="115"/>
      <c r="E126" s="115"/>
      <c r="F126" s="116">
        <f t="shared" si="40"/>
        <v>3.8181818181818183</v>
      </c>
      <c r="G126" s="117">
        <f>DamZChargerBears*F127*(1+BonusPoison/100)/100*DamMH*(1+BuffCC)*(1+(BuffAdd+$D$120)/100)*(1+BuffMulti/100)*(1+DamSplash)*60/ROUNDDOWN(60/1/APS, 0)</f>
        <v>6028708.1339712925</v>
      </c>
      <c r="H126" s="118">
        <f>G126/$B$2</f>
        <v>6.0287081339712918</v>
      </c>
      <c r="J126" s="87"/>
    </row>
    <row r="127" spans="1:10" x14ac:dyDescent="0.2">
      <c r="E127" s="121" t="s">
        <v>521</v>
      </c>
      <c r="F127" s="216">
        <v>1.5</v>
      </c>
      <c r="G127" s="113"/>
      <c r="H127" s="87"/>
      <c r="J127" s="87"/>
    </row>
    <row r="128" spans="1:10" x14ac:dyDescent="0.2">
      <c r="F128" s="87"/>
      <c r="H128" s="87"/>
      <c r="J128" s="87"/>
    </row>
    <row r="129" spans="1:10" x14ac:dyDescent="0.2">
      <c r="A129" s="296" t="s">
        <v>489</v>
      </c>
      <c r="B129" s="296"/>
      <c r="E129" s="94" t="s">
        <v>491</v>
      </c>
      <c r="F129" s="216">
        <v>0</v>
      </c>
      <c r="G129" s="94" t="s">
        <v>490</v>
      </c>
      <c r="H129" s="216">
        <v>0</v>
      </c>
      <c r="J129" s="87"/>
    </row>
    <row r="130" spans="1:10" x14ac:dyDescent="0.2">
      <c r="F130" s="87"/>
      <c r="G130" s="94" t="s">
        <v>415</v>
      </c>
      <c r="H130" s="120" t="b">
        <v>0</v>
      </c>
      <c r="J130" s="87"/>
    </row>
    <row r="131" spans="1:10" x14ac:dyDescent="0.2">
      <c r="E131" s="94" t="s">
        <v>494</v>
      </c>
      <c r="F131" s="216">
        <v>15</v>
      </c>
      <c r="G131" s="94"/>
      <c r="H131" s="120"/>
      <c r="J131" s="87"/>
    </row>
    <row r="132" spans="1:10" x14ac:dyDescent="0.2">
      <c r="A132" s="332" t="s">
        <v>406</v>
      </c>
      <c r="B132" s="332"/>
      <c r="C132" s="115"/>
      <c r="E132" s="115">
        <f>G132/DamMH*100</f>
        <v>5197.5</v>
      </c>
      <c r="F132" s="116">
        <f>((C132+D132)/APS+E132)/100</f>
        <v>51.975000000000001</v>
      </c>
      <c r="G132" s="119">
        <f>DamFetishSycophants*$F$131*(1+(MAX(D9:D12)+$H$129)/100)*(1+BuffAdd/100)*(1+BuffMulti/100)*IF(bBuffZuni6p,3.75,1)*(DamMH*$B$5)/100*J132</f>
        <v>33750000.000000007</v>
      </c>
      <c r="H132" s="118">
        <f>G132/$B$2</f>
        <v>33.75</v>
      </c>
      <c r="I132" s="264" t="s">
        <v>659</v>
      </c>
      <c r="J132" s="87">
        <f>60/(ROUND(60/(1.25+BuffTaskers/100+IF(bBuffIASBBVGroup,20,0)/100+IF(bBuffCrusLoVCritical,15,0)/100+IF(bBuffMonkMoRTransgression,10,0)/100)/6,0)*6)</f>
        <v>1.25</v>
      </c>
    </row>
    <row r="133" spans="1:10" x14ac:dyDescent="0.2">
      <c r="A133" s="296" t="s">
        <v>362</v>
      </c>
      <c r="B133" s="296"/>
      <c r="C133" s="264" t="s">
        <v>379</v>
      </c>
      <c r="D133" s="215">
        <v>0</v>
      </c>
      <c r="E133" s="94" t="s">
        <v>496</v>
      </c>
      <c r="F133" s="216">
        <v>5</v>
      </c>
      <c r="G133" s="119"/>
      <c r="H133" s="87"/>
      <c r="J133" s="87"/>
    </row>
    <row r="134" spans="1:10" x14ac:dyDescent="0.2">
      <c r="A134" s="333" t="s">
        <v>155</v>
      </c>
      <c r="B134" s="333"/>
      <c r="C134" s="115"/>
      <c r="E134" s="115">
        <f>G134/DamMH*100</f>
        <v>1732.5</v>
      </c>
      <c r="F134" s="116">
        <f t="shared" ref="F134" si="42">((C134+D134)/APS+E134)/100</f>
        <v>17.324999999999999</v>
      </c>
      <c r="G134" s="119">
        <f>DamFetishArmy*$F$133*(1+(BonusPhyscial+$H$129+IF(bBuffGemEnforcer,BuffGemEnforcer,0))/100)*(1+(BuffAdd+$D$133)/100)*(1+BuffMulti/100)*IF(bBuffZuni6p,3.75,1)*(DamMH*$B$5)/100*J132</f>
        <v>11250000.000000002</v>
      </c>
      <c r="H134" s="118">
        <f>G134/$B$2</f>
        <v>11.25</v>
      </c>
      <c r="J134" s="87"/>
    </row>
    <row r="135" spans="1:10" x14ac:dyDescent="0.2">
      <c r="A135" s="352" t="s">
        <v>214</v>
      </c>
      <c r="B135" s="352"/>
      <c r="C135" s="115"/>
      <c r="D135" s="235"/>
      <c r="E135" s="115">
        <f>G135/DamMH*100</f>
        <v>1732.5</v>
      </c>
      <c r="F135" s="116">
        <f t="shared" ref="F135" si="43">((C135+D135)/APS+E135)/100</f>
        <v>17.324999999999999</v>
      </c>
      <c r="G135" s="119">
        <f>DamFetishArmy*$F$133*(1+(BonusCold+$H$129+IF(bBuffGemEnforcer,BuffGemEnforcer,0))/100)*(1+(BuffAdd+$D$133)/100)*(1+BuffMulti/100)*IF(bBuffZuni6p,3.75,1)*(DamMH*$B$5)/100*J132</f>
        <v>11250000.000000002</v>
      </c>
      <c r="H135" s="118">
        <f>G135/$B$2</f>
        <v>11.25</v>
      </c>
      <c r="J135" s="87"/>
    </row>
    <row r="136" spans="1:10" s="262" customFormat="1" x14ac:dyDescent="0.2">
      <c r="A136" s="320" t="s">
        <v>162</v>
      </c>
      <c r="B136" s="320"/>
      <c r="C136" s="115"/>
      <c r="E136" s="115">
        <f>G136/DamMH*100</f>
        <v>1732.5</v>
      </c>
      <c r="F136" s="116">
        <f t="shared" ref="F136:F137" si="44">((C136+D136)/APS+E136)/100</f>
        <v>17.324999999999999</v>
      </c>
      <c r="G136" s="119">
        <f>DamFetishArmy*$F$133*(1+(BonusFire+$H$129+IF(bBuffGemEnforcer,BuffGemEnforcer,0))/100)*(1+(BuffAdd+$D$133)/100)*(1+BuffMulti/100)*IF(bBuffZuni6p,3.75,1)*(DamMH*$B$5)/100*J132</f>
        <v>11250000.000000002</v>
      </c>
      <c r="H136" s="118">
        <f t="shared" ref="H136:H137" si="45">G136/$B$2</f>
        <v>11.25</v>
      </c>
      <c r="J136" s="87"/>
    </row>
    <row r="137" spans="1:10" s="262" customFormat="1" x14ac:dyDescent="0.2">
      <c r="A137" s="334" t="s">
        <v>158</v>
      </c>
      <c r="B137" s="334"/>
      <c r="C137" s="115"/>
      <c r="E137" s="115">
        <f>G137/DamMH*100</f>
        <v>1732.5</v>
      </c>
      <c r="F137" s="116">
        <f t="shared" si="44"/>
        <v>17.324999999999999</v>
      </c>
      <c r="G137" s="119">
        <f>DamFetishArmy*$F$133*(1+(BonusPoison+$H$129+IF(bBuffGemEnforcer,BuffGemEnforcer,0))/100)*(1+(BuffAdd+$D$133)/100)*(1+BuffMulti/100)*IF(bBuffZuni6p,3.75,1)*(DamMH*$B$5)/100*J132</f>
        <v>11250000.000000002</v>
      </c>
      <c r="H137" s="118">
        <f t="shared" si="45"/>
        <v>11.25</v>
      </c>
      <c r="J137" s="87"/>
    </row>
    <row r="138" spans="1:10" x14ac:dyDescent="0.2">
      <c r="A138" s="122"/>
      <c r="B138" s="122"/>
      <c r="E138" s="94" t="s">
        <v>497</v>
      </c>
      <c r="F138" s="216">
        <v>2</v>
      </c>
      <c r="G138" s="119"/>
      <c r="H138" s="87"/>
      <c r="J138" s="87"/>
    </row>
    <row r="139" spans="1:10" x14ac:dyDescent="0.2">
      <c r="A139" s="320" t="s">
        <v>367</v>
      </c>
      <c r="B139" s="320"/>
      <c r="C139" s="115"/>
      <c r="E139" s="115">
        <f>G139/DamMH*100</f>
        <v>374</v>
      </c>
      <c r="F139" s="116">
        <f t="shared" ref="F139" si="46">((C139+D139)/APS+E139)/100</f>
        <v>3.74</v>
      </c>
      <c r="G139" s="119">
        <f>DamFetishArmyTorchers*$F$138*(1+(BonusFire+$H$129+IF(bBuffGemEnforcer,BuffGemEnforcer,0))/100)*(1+(BuffAdd+$D$133)/100)*(1+BuffMulti/100)*IF(bBuffZuni6p,3.75,1)*(DamMH*$B$5)/100*J139</f>
        <v>2428571.4285714291</v>
      </c>
      <c r="H139" s="118">
        <f>G139/$B$2</f>
        <v>2.4285714285714288</v>
      </c>
      <c r="I139" s="264" t="s">
        <v>660</v>
      </c>
      <c r="J139" s="87">
        <f>60/(ROUND(42/(1+BuffTaskers/100+IF(bBuffIASBBVGroup,20,0)/100+IF(bBuffCrusLoVCritical,15,0)/100+IF(bBuffMonkMoRTransgression,10,0)/100)/6,0)*6)</f>
        <v>1.4285714285714286</v>
      </c>
    </row>
    <row r="140" spans="1:10" x14ac:dyDescent="0.2">
      <c r="A140" s="122"/>
      <c r="B140" s="122"/>
      <c r="E140" s="94" t="s">
        <v>498</v>
      </c>
      <c r="F140" s="216">
        <v>2</v>
      </c>
      <c r="G140" s="119"/>
      <c r="H140" s="87"/>
      <c r="J140" s="87"/>
    </row>
    <row r="141" spans="1:10" x14ac:dyDescent="0.2">
      <c r="A141" s="334" t="s">
        <v>368</v>
      </c>
      <c r="B141" s="334"/>
      <c r="C141" s="115"/>
      <c r="E141" s="115">
        <f>G141/DamMH*100</f>
        <v>500.5</v>
      </c>
      <c r="F141" s="116">
        <f t="shared" ref="F141" si="47">((C141+D141)/APS+E141)/100</f>
        <v>5.0049999999999999</v>
      </c>
      <c r="G141" s="119">
        <f>DamFetishArmyHunters*$F$140*(1+(BonusPoison+$H$129+IF(bBuffGemEnforcer,BuffGemEnforcer,0))/100)*(1+(BuffAdd+$D$133)/100)*(1+BuffMulti/100)*IF(bBuffZuni6p,3.75,1)*(DamMH*$B$5)/100*J141</f>
        <v>3250000.0000000005</v>
      </c>
      <c r="H141" s="118">
        <f>G141/$B$2</f>
        <v>3.25</v>
      </c>
      <c r="I141" s="264" t="s">
        <v>664</v>
      </c>
      <c r="J141" s="87">
        <f>60/(ROUND(60/(1.25+BuffTaskers/100+IF(bBuffIASBBVGroup,20,0)/100+IF(bBuffCrusLoVCritical,15,0)/100+IF(bBuffMonkMoRTransgression,10,0)/100)/6,0)*6)</f>
        <v>1.25</v>
      </c>
    </row>
    <row r="142" spans="1:10" x14ac:dyDescent="0.2">
      <c r="A142" s="122"/>
      <c r="B142" s="122"/>
      <c r="F142" s="87"/>
      <c r="H142" s="87"/>
      <c r="J142" s="87"/>
    </row>
    <row r="143" spans="1:10" x14ac:dyDescent="0.2">
      <c r="A143" s="327" t="s">
        <v>492</v>
      </c>
      <c r="B143" s="327"/>
      <c r="C143" s="94" t="s">
        <v>379</v>
      </c>
      <c r="D143" s="215">
        <v>0</v>
      </c>
      <c r="E143" s="94" t="s">
        <v>495</v>
      </c>
      <c r="F143" s="216">
        <v>1</v>
      </c>
      <c r="G143" s="94" t="s">
        <v>519</v>
      </c>
      <c r="H143" s="120" t="b">
        <v>0</v>
      </c>
      <c r="I143" s="264" t="s">
        <v>658</v>
      </c>
      <c r="J143" s="87">
        <f>(60/(ROUND(54/(1+BuffTaskers/100+IF(bBuffIASBBVGroup,20,0)/100+IF(bBuffCrusLoVCritical,15,0)/100+IF(bBuffMonkMoRTransgression,10,0)/100)/6,0)*6)+60/(ROUND(62/(1+BuffTaskers/100+IF(bBuffIASBBVGroup,20,0)/100+IF(bBuffCrusLoVCritical,15,0)/100+IF(bBuffMonkMoRTransgression,10,0)/100)/6,0)*6)+60/(ROUND(60/(1+BuffTaskers/100+IF(bBuffIASBBVGroup,20,0)/100+IF(bBuffCrusLoVCritical,15,0)/100+IF(bBuffMonkMoRTransgression,10,0)/100)/6,0)*6)+60/(ROUND(52/(1+BuffTaskers/100+IF(bBuffIASBBVGroup,20,0)/100+IF(bBuffCrusLoVCritical,15,0)/100+IF(bBuffMonkMoRTransgression,10,0)/100)/6,0)*6))/4</f>
        <v>1.0555555555555556</v>
      </c>
    </row>
    <row r="144" spans="1:10" x14ac:dyDescent="0.2">
      <c r="A144" s="328"/>
      <c r="B144" s="328"/>
      <c r="E144" s="115">
        <f>G144/DamMH*100</f>
        <v>48.766666666666666</v>
      </c>
      <c r="F144" s="116">
        <f>((C144+D144)/APS+E144)/100</f>
        <v>0.48766666666666664</v>
      </c>
      <c r="G144" s="119">
        <f>DamZDogs*IF($H$143, 4*$F$143+1,$F$143)*(1+(BonusPhyscial+$H$129+IF(bBuffGemEnforcer,BuffGemEnforcer,0))/100)*(1+(BuffAdd+$D$143+IF($H$130, BuffMidnightFeast, 0))/100)*(1+BuffMulti/100)*IF(bBuffZuni6p,3.75,1)*(DamMH*$B$5)/100*J143</f>
        <v>316666.66666666674</v>
      </c>
      <c r="H144" s="118">
        <f>G144/$B$2</f>
        <v>0.31666666666666671</v>
      </c>
      <c r="J144" s="87"/>
    </row>
    <row r="145" spans="1:10" x14ac:dyDescent="0.2">
      <c r="A145" s="331" t="s">
        <v>232</v>
      </c>
      <c r="B145" s="331"/>
      <c r="E145" s="115">
        <f>G145/DamMH*100</f>
        <v>97.533333333333331</v>
      </c>
      <c r="F145" s="116">
        <f>((C145+D145)/APS+E145)/100</f>
        <v>0.97533333333333327</v>
      </c>
      <c r="G145" s="119">
        <f>(DamZDogs+Dam2ZDogsRabid)*IF($H$143, 4*$F$143+1,$F$143)*(1+(BonusPoison+$H$129+IF(bBuffGemEnforcer,BuffGemEnforcer,0))/100)*(1+(BuffAdd+$D$143+IF($H$130, BuffMidnightFeast, 0))/100)*(1+BuffMulti/100)*IF(bBuffZuni6p,3.75,1)*(DamMH*$B$5)/100*J143</f>
        <v>633333.33333333349</v>
      </c>
      <c r="H145" s="118">
        <f t="shared" ref="H145:H147" si="48">G145/$B$2</f>
        <v>0.63333333333333341</v>
      </c>
      <c r="I145" s="94"/>
      <c r="J145" s="249"/>
    </row>
    <row r="146" spans="1:10" s="235" customFormat="1" x14ac:dyDescent="0.2">
      <c r="A146" s="329" t="s">
        <v>579</v>
      </c>
      <c r="B146" s="329"/>
      <c r="E146" s="115">
        <f>G146/DamMH*100</f>
        <v>48.766666666666666</v>
      </c>
      <c r="F146" s="116">
        <f>((C146+D146)/APS+E146)/100</f>
        <v>0.48766666666666664</v>
      </c>
      <c r="G146" s="119">
        <f>DamZDogs*IF($H$143, 4*$F$143+1,$F$143)*(1+(BonusCold+$H$129+IF(bBuffGemEnforcer,BuffGemEnforcer,0))/100)*(1+(BuffAdd+$D$143+IF($H$130, BuffMidnightFeast, 0))/100)*(1+BuffMulti/100)*IF(bBuffZuni6p,3.75,1)*(DamMH*$B$5)/100*J143</f>
        <v>316666.66666666674</v>
      </c>
      <c r="H146" s="118">
        <f>G146/$B$2</f>
        <v>0.31666666666666671</v>
      </c>
      <c r="I146" s="239"/>
      <c r="J146" s="249"/>
    </row>
    <row r="147" spans="1:10" x14ac:dyDescent="0.2">
      <c r="A147" s="330" t="s">
        <v>234</v>
      </c>
      <c r="B147" s="330"/>
      <c r="E147" s="115">
        <f>G147/DamMH*100</f>
        <v>65.022222222222226</v>
      </c>
      <c r="F147" s="116">
        <f>((C147+D147)/APS+E147)/100</f>
        <v>0.65022222222222226</v>
      </c>
      <c r="G147" s="119">
        <f>(DamZDogs+Dam2ZDogsBurning)*IF($H$143, 4*$F$143+1,$F$143)*(1+(BonusFire+$H$129+IF(bBuffGemEnforcer,BuffGemEnforcer,0))/100)*(1+(BuffAdd+$D$143+IF($H$130, BuffMidnightFeast, 0))/100)*(1+BuffMulti/100)*IF(bBuffZuni6p,3.75,1)*(DamMH*$B$5)/100*J143</f>
        <v>422222.22222222231</v>
      </c>
      <c r="H147" s="118">
        <f t="shared" si="48"/>
        <v>0.42222222222222228</v>
      </c>
      <c r="J147" s="87"/>
    </row>
    <row r="148" spans="1:10" x14ac:dyDescent="0.2">
      <c r="F148" s="87"/>
      <c r="G148" s="119"/>
      <c r="H148" s="87"/>
      <c r="J148" s="87"/>
    </row>
    <row r="149" spans="1:10" x14ac:dyDescent="0.2">
      <c r="A149" s="296" t="s">
        <v>343</v>
      </c>
      <c r="B149" s="296"/>
      <c r="C149" s="94" t="s">
        <v>379</v>
      </c>
      <c r="D149" s="215">
        <v>0</v>
      </c>
      <c r="F149" s="87"/>
      <c r="G149" s="272" t="s">
        <v>666</v>
      </c>
      <c r="H149" s="120" t="b">
        <v>0</v>
      </c>
      <c r="I149" s="264" t="s">
        <v>661</v>
      </c>
      <c r="J149" s="87">
        <f>60/(ROUNDUP(84/(1+BuffTaskers/100+IF(bBuffIASBBVGroup,20,0)/100+IF(bBuffCrusLoVCritical,15,0)/100+IF(bBuffMonkMoRTransgression,10,0)/100)/6,0)*6)</f>
        <v>0.7142857142857143</v>
      </c>
    </row>
    <row r="150" spans="1:10" x14ac:dyDescent="0.2">
      <c r="A150" s="328"/>
      <c r="B150" s="328"/>
      <c r="C150" s="115"/>
      <c r="E150" s="115">
        <f>G150/DamMH*100</f>
        <v>110.00000000000001</v>
      </c>
      <c r="F150" s="116">
        <f t="shared" ref="F150:F153" si="49">((C150+D150)/APS+E150)/100</f>
        <v>1.1000000000000001</v>
      </c>
      <c r="G150" s="119">
        <f>DamGargantuan*(1+(BonusPhyscial+$H$129+IF(bBuffGemEnforcer,BuffGemEnforcer,0))/100)*(1+(BuffAdd+$D$149+IF($H$130, BuffMidnightFeast, 0))/100)*(1+BuffMulti/100)*IF(bBuffZuni6p,3.75,1)*(DamMH*$B$5)/100*J149*IF($H$149, 3*1.5,1)</f>
        <v>714285.71428571444</v>
      </c>
      <c r="H150" s="118">
        <f>G150/$B$2</f>
        <v>0.7142857142857143</v>
      </c>
      <c r="J150" s="87"/>
    </row>
    <row r="151" spans="1:10" x14ac:dyDescent="0.2">
      <c r="A151" s="329" t="s">
        <v>344</v>
      </c>
      <c r="B151" s="329"/>
      <c r="C151" s="115"/>
      <c r="E151" s="115">
        <f>G151/DamMH*100</f>
        <v>143.00000000000003</v>
      </c>
      <c r="F151" s="116">
        <f t="shared" si="49"/>
        <v>1.4300000000000004</v>
      </c>
      <c r="G151" s="119">
        <f>DamGargantuanHumongoid*(1+(BonusCold+$H$129+IF(bBuffGemEnforcer,BuffGemEnforcer,0))/100)*(1+(BuffAdd+$D$149+IF($H$130, BuffMidnightFeast, 0))/100)*(1+BuffMulti/100)*IF(bBuffZuni6p,3.75,1)*(DamMH*$B$5)/100*J149*IF($H$149, 3*1.5,1)</f>
        <v>928571.42857142875</v>
      </c>
      <c r="H151" s="118">
        <f>G151/$B$2</f>
        <v>0.9285714285714286</v>
      </c>
      <c r="J151" s="87"/>
    </row>
    <row r="152" spans="1:10" x14ac:dyDescent="0.2">
      <c r="A152" s="330" t="s">
        <v>345</v>
      </c>
      <c r="B152" s="330"/>
      <c r="C152" s="115"/>
      <c r="E152" s="115">
        <f>G152/DamMH*100</f>
        <v>632.5</v>
      </c>
      <c r="F152" s="116">
        <f t="shared" si="49"/>
        <v>6.3250000000000002</v>
      </c>
      <c r="G152" s="119">
        <f>DamGargantuanWrathful*(1+(BonusFire+$H$129+IF(bBuffGemEnforcer,BuffGemEnforcer,0))/100)*(1+(BuffAdd+$D$149+IF($H$130, BuffMidnightFeast, 0))/100)*(1+BuffMulti/100)*IF(bBuffZuni6p,3.75,1)*(DamMH*$B$5)/100*J149*IF($H$149, 3*1.5,1)</f>
        <v>4107142.8571428577</v>
      </c>
      <c r="H152" s="118">
        <f>G152/$B$2</f>
        <v>4.1071428571428577</v>
      </c>
      <c r="J152" s="87"/>
    </row>
    <row r="153" spans="1:10" x14ac:dyDescent="0.2">
      <c r="A153" s="331" t="s">
        <v>346</v>
      </c>
      <c r="B153" s="331"/>
      <c r="C153" s="115"/>
      <c r="E153" s="115">
        <f>G153/DamMH*100</f>
        <v>179.3</v>
      </c>
      <c r="F153" s="116">
        <f t="shared" si="49"/>
        <v>1.7930000000000001</v>
      </c>
      <c r="G153" s="119">
        <f>(DamGargantuan*J149+DoTGargantuanBigStinker)*(1+(BonusPoison+$H$129+IF(bBuffGemEnforcer,BuffGemEnforcer,0))/100)*(1+(BuffAdd+$D$149+IF($H$130, BuffMidnightFeast, 0))/100)*(1+BuffMulti/100)*IF(bBuffZuni6p,3.75,1)*(DamMH*$B$5)/100*IF($H$149, 3*1.5,1)</f>
        <v>1164285.7142857146</v>
      </c>
      <c r="H153" s="118">
        <f>G153/$B$2</f>
        <v>1.1642857142857144</v>
      </c>
      <c r="I153" s="123"/>
      <c r="J153" s="87"/>
    </row>
    <row r="154" spans="1:10" s="271" customFormat="1" x14ac:dyDescent="0.2">
      <c r="A154" s="330" t="s">
        <v>347</v>
      </c>
      <c r="B154" s="330"/>
      <c r="C154" s="115"/>
      <c r="E154" s="115">
        <f>G154/DamMH*100</f>
        <v>220.00000000000003</v>
      </c>
      <c r="F154" s="116">
        <f t="shared" ref="F154" si="50">((C154+D154)/APS+E154)/100</f>
        <v>2.2000000000000002</v>
      </c>
      <c r="G154" s="119">
        <f>DamGargantuanBruiser*(1+(BonusFire+$H$129+IF(bBuffGemEnforcer,BuffGemEnforcer,0))/100)*(1+(BuffAdd+$D$149+IF($H$130, BuffMidnightFeast, 0))/100)*(1+BuffMulti/100)*IF(bBuffZuni6p,3.75,1)*(DamMH*$B$5)/100*J149*IF($H$149, 3*1.5,1)</f>
        <v>1428571.4285714289</v>
      </c>
      <c r="H154" s="118">
        <f>G154/$B$2</f>
        <v>1.4285714285714286</v>
      </c>
      <c r="I154" s="123"/>
      <c r="J154" s="87"/>
    </row>
    <row r="155" spans="1:10" x14ac:dyDescent="0.2">
      <c r="F155" s="87"/>
      <c r="H155" s="87"/>
      <c r="J155" s="87"/>
    </row>
    <row r="156" spans="1:10" x14ac:dyDescent="0.2">
      <c r="A156" s="296" t="s">
        <v>536</v>
      </c>
      <c r="B156" s="296"/>
      <c r="C156" s="136"/>
      <c r="D156" s="136"/>
      <c r="E156" s="136"/>
      <c r="F156" s="137"/>
      <c r="G156" s="136"/>
      <c r="H156" s="137"/>
      <c r="I156" s="250"/>
      <c r="J156" s="137"/>
    </row>
    <row r="157" spans="1:10" x14ac:dyDescent="0.2">
      <c r="F157" s="87"/>
      <c r="H157" s="87"/>
    </row>
    <row r="158" spans="1:10" x14ac:dyDescent="0.2">
      <c r="A158" s="324" t="s">
        <v>537</v>
      </c>
      <c r="B158" s="324"/>
      <c r="C158" s="94" t="s">
        <v>538</v>
      </c>
      <c r="D158" s="222">
        <v>25</v>
      </c>
      <c r="E158" s="94" t="s">
        <v>539</v>
      </c>
      <c r="F158" s="223">
        <f>2000+50*D158</f>
        <v>3250</v>
      </c>
      <c r="H158" s="87"/>
    </row>
    <row r="159" spans="1:10" x14ac:dyDescent="0.2">
      <c r="A159" s="325" t="s">
        <v>540</v>
      </c>
      <c r="B159" s="325"/>
      <c r="E159" s="115">
        <f>G159/DamMH*100</f>
        <v>325</v>
      </c>
      <c r="F159" s="116">
        <f t="shared" ref="F159" si="51">((C159+D159)/APS+E159)/100</f>
        <v>3.25</v>
      </c>
      <c r="G159" s="119">
        <f>$F$158/10*(1+BonusPoison/100)*(1+BuffAdd/100)*(1+BuffMulti/100)*(1+DamSplash)*DamMH/100</f>
        <v>2110389.6103896108</v>
      </c>
      <c r="H159" s="118">
        <f>G159/$B$2</f>
        <v>2.1103896103896105</v>
      </c>
    </row>
    <row r="160" spans="1:10" x14ac:dyDescent="0.2">
      <c r="F160" s="87"/>
      <c r="H160" s="87"/>
    </row>
    <row r="161" spans="1:8" x14ac:dyDescent="0.2">
      <c r="A161" s="296" t="s">
        <v>541</v>
      </c>
      <c r="B161" s="296"/>
      <c r="C161" s="94" t="s">
        <v>538</v>
      </c>
      <c r="D161" s="222">
        <v>25</v>
      </c>
      <c r="E161" s="94" t="s">
        <v>539</v>
      </c>
      <c r="F161" s="223">
        <f>2000+40*D161</f>
        <v>3000</v>
      </c>
      <c r="H161" s="87"/>
    </row>
    <row r="162" spans="1:8" x14ac:dyDescent="0.2">
      <c r="A162" s="224">
        <v>0.5</v>
      </c>
      <c r="B162" s="225" t="s">
        <v>545</v>
      </c>
      <c r="E162" s="115">
        <f>G162/DamMH*100</f>
        <v>955.26315789473665</v>
      </c>
      <c r="F162" s="116">
        <f t="shared" ref="F162" si="52">((C162+D162)/APS+E162)/100</f>
        <v>9.5526315789473664</v>
      </c>
      <c r="G162" s="119">
        <f>(0.15*A162*60/ROUNDDOWN(60/1/APS, 0)+IF($D$161&gt;=25,1/5,0))*$F$161*(1+BuffAdd/100)*(1+BuffMulti/100)*(1+DamSplash)*DamMH/100</f>
        <v>6203007.5187969925</v>
      </c>
      <c r="H162" s="118">
        <f>G162/$B$2</f>
        <v>6.2030075187969915</v>
      </c>
    </row>
    <row r="163" spans="1:8" x14ac:dyDescent="0.2">
      <c r="F163" s="87"/>
      <c r="H163" s="87"/>
    </row>
    <row r="164" spans="1:8" x14ac:dyDescent="0.2">
      <c r="A164" s="326" t="s">
        <v>542</v>
      </c>
      <c r="B164" s="326"/>
      <c r="C164" s="94" t="s">
        <v>538</v>
      </c>
      <c r="D164" s="222">
        <v>25</v>
      </c>
      <c r="E164" s="94" t="s">
        <v>539</v>
      </c>
      <c r="F164" s="223">
        <f>1200+30*D164</f>
        <v>1950</v>
      </c>
      <c r="H164" s="87"/>
    </row>
    <row r="165" spans="1:8" x14ac:dyDescent="0.2">
      <c r="A165" s="328" t="s">
        <v>544</v>
      </c>
      <c r="B165" s="328"/>
      <c r="E165" s="115">
        <f>G165/DamMH*100</f>
        <v>650</v>
      </c>
      <c r="F165" s="116">
        <f t="shared" ref="F165" si="53">((C165+D165)/APS+E165)/100</f>
        <v>6.5</v>
      </c>
      <c r="G165" s="119">
        <f>IF(B6*APS*3&lt;1,B6*APS*3,1)*$F$164/3*(1+BonusPhyscial/100)*(1+BuffAdd/100)*(1+BuffMulti/100)*(1+DamSplash)*DamMH/100</f>
        <v>4220779.2207792215</v>
      </c>
      <c r="H165" s="118">
        <f>G165/$B$2</f>
        <v>4.220779220779221</v>
      </c>
    </row>
    <row r="166" spans="1:8" x14ac:dyDescent="0.2">
      <c r="F166" s="87"/>
      <c r="H166" s="87"/>
    </row>
    <row r="167" spans="1:8" x14ac:dyDescent="0.2">
      <c r="A167" s="327" t="s">
        <v>543</v>
      </c>
      <c r="B167" s="327"/>
      <c r="C167" s="94" t="s">
        <v>538</v>
      </c>
      <c r="D167" s="222">
        <v>25</v>
      </c>
      <c r="E167" s="94" t="s">
        <v>539</v>
      </c>
      <c r="F167" s="223">
        <f>600+10*D167</f>
        <v>850</v>
      </c>
      <c r="H167" s="87"/>
    </row>
    <row r="168" spans="1:8" x14ac:dyDescent="0.2">
      <c r="A168" s="224">
        <v>0.5</v>
      </c>
      <c r="B168" s="225" t="s">
        <v>545</v>
      </c>
      <c r="E168" s="115">
        <f>G168/DamMH*100</f>
        <v>301.9736842105263</v>
      </c>
      <c r="F168" s="116">
        <f t="shared" ref="F168" si="54">((C168+D168)/APS+E168)/100</f>
        <v>3.0197368421052628</v>
      </c>
      <c r="G168" s="119">
        <f>IF((0.15*A168*60/ROUNDDOWN(60/1/APS, 0))*$H$10*3&gt;1,1,(0.15*A168*60/ROUNDDOWN(60/1/APS, 0))*$H$10*3)*$F$167*(1+BuffAdd/100)*(1+BuffMulti/100)*(1+DamSplash)*DamMH/100</f>
        <v>1960868.079289132</v>
      </c>
      <c r="H168" s="118">
        <f>G168/$B$2</f>
        <v>1.9608680792891318</v>
      </c>
    </row>
    <row r="169" spans="1:8" x14ac:dyDescent="0.2">
      <c r="F169" s="87"/>
      <c r="H169" s="87"/>
    </row>
    <row r="170" spans="1:8" x14ac:dyDescent="0.2">
      <c r="A170" s="327" t="s">
        <v>546</v>
      </c>
      <c r="B170" s="327"/>
      <c r="C170" s="226" t="s">
        <v>547</v>
      </c>
      <c r="D170" s="227">
        <v>325.5</v>
      </c>
      <c r="E170" s="228" t="s">
        <v>548</v>
      </c>
      <c r="F170" s="87"/>
      <c r="G170" s="94" t="s">
        <v>549</v>
      </c>
      <c r="H170" s="87">
        <f>1/APS</f>
        <v>0.64935064935064934</v>
      </c>
    </row>
    <row r="171" spans="1:8" x14ac:dyDescent="0.2">
      <c r="A171" s="224">
        <v>0.5</v>
      </c>
      <c r="B171" s="225" t="s">
        <v>545</v>
      </c>
      <c r="E171" s="115">
        <f>G171/DamMH*100</f>
        <v>154.18421052631578</v>
      </c>
      <c r="F171" s="116">
        <f t="shared" ref="F171" si="55">((C171+D171)/APS+E171)/100</f>
        <v>1.5418421052631579</v>
      </c>
      <c r="G171" s="119">
        <f>IF(A171*0.6*60/ROUNDDOWN(60/1/APS, 0)*$H$10&gt;APS, APS, A171*0.6*60/ROUNDDOWN(60/1/APS, 0)*$H$10)*$D$170/100*DamMH*(1+BuffCC)*(1+BuffAdd/100)*(1+BuffMulti/100)</f>
        <v>1001196.172248804</v>
      </c>
      <c r="H171" s="118">
        <f>G171/$B$2</f>
        <v>1.0011961722488039</v>
      </c>
    </row>
    <row r="172" spans="1:8" x14ac:dyDescent="0.2">
      <c r="F172" s="87"/>
      <c r="H172" s="87"/>
    </row>
    <row r="173" spans="1:8" x14ac:dyDescent="0.2">
      <c r="A173" s="321" t="s">
        <v>550</v>
      </c>
      <c r="B173" s="321"/>
      <c r="C173" s="226" t="s">
        <v>547</v>
      </c>
      <c r="D173" s="229">
        <v>225</v>
      </c>
      <c r="E173" s="228" t="s">
        <v>551</v>
      </c>
      <c r="F173" s="87"/>
      <c r="G173" s="94" t="s">
        <v>549</v>
      </c>
      <c r="H173" s="87">
        <v>0.3</v>
      </c>
    </row>
    <row r="174" spans="1:8" x14ac:dyDescent="0.2">
      <c r="A174" s="338" t="s">
        <v>552</v>
      </c>
      <c r="B174" s="338"/>
      <c r="F174" s="87"/>
      <c r="H174" s="87"/>
    </row>
    <row r="175" spans="1:8" x14ac:dyDescent="0.2">
      <c r="A175" s="224">
        <v>0.5</v>
      </c>
      <c r="B175" s="225" t="s">
        <v>545</v>
      </c>
      <c r="C175" s="115">
        <f>G175/(60/ROUNDDOWN(60/1/APS, 0))/DamMH*100</f>
        <v>225</v>
      </c>
      <c r="F175" s="116">
        <f t="shared" ref="F175" si="56">((C175+D175)/APS+E175)/100</f>
        <v>1.4610389610389609</v>
      </c>
      <c r="G175" s="119">
        <f>IF(A175*60/ROUNDDOWN(60/1/APS, 0)*($H$10+1)&gt;1/$H$173, 1/$H$173, A175*60/ROUNDDOWN(60/1/APS, 0)*($H$10+1))*$D$173/100*DamMH*(1+BonusCold/100)*(1+BuffCC)*(1+BuffAdd/100)*(1+BuffMulti/100)</f>
        <v>2306903.6226930968</v>
      </c>
      <c r="H175" s="118">
        <f>G175/$B$2</f>
        <v>2.3069036226930963</v>
      </c>
    </row>
    <row r="176" spans="1:8" x14ac:dyDescent="0.2">
      <c r="A176" s="337" t="s">
        <v>553</v>
      </c>
      <c r="B176" s="337"/>
      <c r="C176" s="94" t="s">
        <v>554</v>
      </c>
      <c r="D176" s="222">
        <v>3</v>
      </c>
      <c r="F176" s="87"/>
      <c r="H176" s="87"/>
    </row>
    <row r="177" spans="1:8" x14ac:dyDescent="0.2">
      <c r="A177" s="224">
        <v>0.5</v>
      </c>
      <c r="B177" s="225" t="s">
        <v>545</v>
      </c>
      <c r="C177" s="115">
        <f>G177/(60/ROUNDDOWN(60/1/APS, 0))/DamMH*100</f>
        <v>674.99999999999989</v>
      </c>
      <c r="F177" s="116">
        <f t="shared" ref="F177" si="57">((C177+D177)/APS+E177)/100</f>
        <v>4.3831168831168821</v>
      </c>
      <c r="G177" s="119">
        <f>$D$176*IF(A177*60/ROUNDDOWN(60/1/APS, 0)*($H$10+1)&gt;1/$H$173, 1/$H$173, A177*60/ROUNDDOWN(60/1/APS, 0)*($H$10+1))*$D173/100*DamMH*(1+BuffCC)*(1+BuffAdd/100)*(1+BuffMulti/100)</f>
        <v>6920710.8680792898</v>
      </c>
      <c r="H177" s="118">
        <f>G177/$B$2</f>
        <v>6.920710868079289</v>
      </c>
    </row>
    <row r="178" spans="1:8" x14ac:dyDescent="0.2">
      <c r="A178" s="334" t="s">
        <v>555</v>
      </c>
      <c r="B178" s="334"/>
      <c r="F178" s="87"/>
      <c r="H178" s="87"/>
    </row>
    <row r="179" spans="1:8" x14ac:dyDescent="0.2">
      <c r="A179" s="224">
        <v>0.5</v>
      </c>
      <c r="B179" s="225" t="s">
        <v>545</v>
      </c>
      <c r="C179" s="115">
        <f>G179/(60/ROUNDDOWN(60/1/APS, 0))/DamMH*100</f>
        <v>225</v>
      </c>
      <c r="F179" s="116">
        <f t="shared" ref="F179" si="58">((C179+D179)/APS+E179)/100</f>
        <v>1.4610389610389609</v>
      </c>
      <c r="G179" s="119">
        <f>IF(A179*60/ROUNDDOWN(60/1/APS, 0)*($H$10+1)&gt;1/$H$173, 1/$H$173, A179*60/ROUNDDOWN(60/1/APS, 0)*($H$10+1))*$D$173/100*DamMH*(1+BonusPoison/100)*(1+BuffCC)*(1+BuffAdd/100)*(1+BuffMulti/100)</f>
        <v>2306903.6226930968</v>
      </c>
      <c r="H179" s="118">
        <f>G179/$B$2</f>
        <v>2.3069036226930963</v>
      </c>
    </row>
    <row r="180" spans="1:8" x14ac:dyDescent="0.2">
      <c r="F180" s="87"/>
      <c r="H180" s="87"/>
    </row>
    <row r="181" spans="1:8" x14ac:dyDescent="0.2">
      <c r="A181" s="321" t="s">
        <v>556</v>
      </c>
      <c r="B181" s="321"/>
      <c r="C181" s="226" t="s">
        <v>557</v>
      </c>
      <c r="D181" s="229">
        <v>30</v>
      </c>
      <c r="E181" s="82" t="s">
        <v>558</v>
      </c>
      <c r="F181" s="87"/>
      <c r="H181" s="87"/>
    </row>
    <row r="182" spans="1:8" x14ac:dyDescent="0.2">
      <c r="A182" s="224">
        <v>0.5</v>
      </c>
      <c r="B182" s="225" t="s">
        <v>545</v>
      </c>
      <c r="C182" s="115">
        <f>G182/(60/ROUNDDOWN(60/1/APS, 0))/DamMH*100</f>
        <v>163.35000000000005</v>
      </c>
      <c r="F182" s="116">
        <f t="shared" ref="F182" si="59">((C182+D182)/APS+E182)/100</f>
        <v>1.0607142857142859</v>
      </c>
      <c r="G182" s="119">
        <f>A182*$D$181*60/ROUNDDOWN(60/1/APS, 0)*1.1*3/100*DamMH*(($B$6+AddCC)*$B$7/10000+1)*(1+($B$4+$D$6)/100)*(1+BuffCC)*(1+BuffAdd/100)*(1+BuffMulti/100)</f>
        <v>1674812.0300751887</v>
      </c>
      <c r="H182" s="118">
        <f>G182/$B$2</f>
        <v>1.6748120300751885</v>
      </c>
    </row>
    <row r="183" spans="1:8" x14ac:dyDescent="0.2">
      <c r="F183" s="87"/>
      <c r="H183" s="87"/>
    </row>
    <row r="184" spans="1:8" x14ac:dyDescent="0.2">
      <c r="A184" s="317" t="s">
        <v>559</v>
      </c>
      <c r="B184" s="317"/>
      <c r="C184" s="226" t="s">
        <v>547</v>
      </c>
      <c r="D184" s="229">
        <v>400</v>
      </c>
      <c r="E184" s="230" t="s">
        <v>668</v>
      </c>
      <c r="F184" s="87"/>
      <c r="H184" s="87"/>
    </row>
    <row r="185" spans="1:8" x14ac:dyDescent="0.2">
      <c r="A185" s="318" t="s">
        <v>555</v>
      </c>
      <c r="B185" s="318"/>
      <c r="C185" s="115">
        <f>G185/(60/ROUNDDOWN(60/1/APS, 0))/DamMH*100</f>
        <v>253.33333333333331</v>
      </c>
      <c r="F185" s="116">
        <f t="shared" ref="F185" si="60">((C185+D185)/APS+E185)/100</f>
        <v>1.6450216450216448</v>
      </c>
      <c r="G185" s="119">
        <f>$D$184/100*DamMH*(1+BonusPoison/100)*(1+BuffCC)*(1+BuffAdd/100)*(1+BuffMulti/100)</f>
        <v>2597402.5974025978</v>
      </c>
      <c r="H185" s="118">
        <f>G185/$B$2</f>
        <v>2.5974025974025974</v>
      </c>
    </row>
    <row r="186" spans="1:8" x14ac:dyDescent="0.2">
      <c r="F186" s="87"/>
      <c r="H186" s="87"/>
    </row>
    <row r="187" spans="1:8" x14ac:dyDescent="0.2">
      <c r="A187" s="319" t="s">
        <v>560</v>
      </c>
      <c r="B187" s="319"/>
      <c r="C187" s="226" t="s">
        <v>547</v>
      </c>
      <c r="D187" s="229">
        <v>350</v>
      </c>
      <c r="E187" s="273" t="s">
        <v>667</v>
      </c>
      <c r="F187" s="87"/>
      <c r="H187" s="87"/>
    </row>
    <row r="188" spans="1:8" x14ac:dyDescent="0.2">
      <c r="A188" s="320" t="s">
        <v>561</v>
      </c>
      <c r="B188" s="320"/>
      <c r="E188" s="115">
        <f>G188/DamMH*100</f>
        <v>350</v>
      </c>
      <c r="F188" s="116">
        <f t="shared" ref="F188" si="61">((C188+D188)/APS+E188)/100</f>
        <v>3.5</v>
      </c>
      <c r="G188" s="119">
        <f>D187*(1+BonusFire/100)/100*DamMH*(1+BuffCC)*(1+BuffAdd/100)*(1+BuffMulti/100)</f>
        <v>2272727.2727272729</v>
      </c>
      <c r="H188" s="118">
        <f>G188/$B$2</f>
        <v>2.2727272727272725</v>
      </c>
    </row>
  </sheetData>
  <mergeCells count="181">
    <mergeCell ref="A154:B154"/>
    <mergeCell ref="A136:B136"/>
    <mergeCell ref="A137:B137"/>
    <mergeCell ref="R17:S17"/>
    <mergeCell ref="R18:S18"/>
    <mergeCell ref="S41:T41"/>
    <mergeCell ref="R7:S7"/>
    <mergeCell ref="R8:S8"/>
    <mergeCell ref="R9:S9"/>
    <mergeCell ref="R10:S10"/>
    <mergeCell ref="R11:S11"/>
    <mergeCell ref="R12:S12"/>
    <mergeCell ref="R13:S13"/>
    <mergeCell ref="R14:S14"/>
    <mergeCell ref="R15:S15"/>
    <mergeCell ref="R16:S16"/>
    <mergeCell ref="A135:B135"/>
    <mergeCell ref="J10:K10"/>
    <mergeCell ref="J11:K11"/>
    <mergeCell ref="J12:K12"/>
    <mergeCell ref="J13:K13"/>
    <mergeCell ref="A31:B31"/>
    <mergeCell ref="A32:B32"/>
    <mergeCell ref="A50:B50"/>
    <mergeCell ref="A51:B51"/>
    <mergeCell ref="R1:S1"/>
    <mergeCell ref="R2:S2"/>
    <mergeCell ref="R3:S3"/>
    <mergeCell ref="R4:S4"/>
    <mergeCell ref="R5:S5"/>
    <mergeCell ref="R6:S6"/>
    <mergeCell ref="A118:B118"/>
    <mergeCell ref="A83:B83"/>
    <mergeCell ref="A90:B90"/>
    <mergeCell ref="A91:B91"/>
    <mergeCell ref="A92:B92"/>
    <mergeCell ref="G1:I1"/>
    <mergeCell ref="G2:H2"/>
    <mergeCell ref="I20:J20"/>
    <mergeCell ref="C8:D8"/>
    <mergeCell ref="G5:H5"/>
    <mergeCell ref="G6:H6"/>
    <mergeCell ref="A23:B23"/>
    <mergeCell ref="A25:B25"/>
    <mergeCell ref="A26:B26"/>
    <mergeCell ref="A27:B27"/>
    <mergeCell ref="A28:B28"/>
    <mergeCell ref="A93:B93"/>
    <mergeCell ref="A98:B98"/>
    <mergeCell ref="A99:B99"/>
    <mergeCell ref="A146:B146"/>
    <mergeCell ref="N9:O9"/>
    <mergeCell ref="N6:O6"/>
    <mergeCell ref="A117:B117"/>
    <mergeCell ref="A112:B112"/>
    <mergeCell ref="A113:B113"/>
    <mergeCell ref="A114:B114"/>
    <mergeCell ref="A104:B104"/>
    <mergeCell ref="A37:B37"/>
    <mergeCell ref="A39:B39"/>
    <mergeCell ref="A49:B49"/>
    <mergeCell ref="A77:B77"/>
    <mergeCell ref="A40:B40"/>
    <mergeCell ref="A41:B41"/>
    <mergeCell ref="A42:B42"/>
    <mergeCell ref="A43:B43"/>
    <mergeCell ref="A44:B44"/>
    <mergeCell ref="A45:B45"/>
    <mergeCell ref="A47:B47"/>
    <mergeCell ref="A48:B48"/>
    <mergeCell ref="G20:H20"/>
    <mergeCell ref="A57:B57"/>
    <mergeCell ref="A88:B88"/>
    <mergeCell ref="A89:B89"/>
    <mergeCell ref="A52:B52"/>
    <mergeCell ref="A53:B53"/>
    <mergeCell ref="A55:B55"/>
    <mergeCell ref="A56:B56"/>
    <mergeCell ref="A61:B61"/>
    <mergeCell ref="A58:B58"/>
    <mergeCell ref="A59:B59"/>
    <mergeCell ref="A60:B60"/>
    <mergeCell ref="A81:B81"/>
    <mergeCell ref="A82:B82"/>
    <mergeCell ref="A75:B75"/>
    <mergeCell ref="N10:O10"/>
    <mergeCell ref="N8:O8"/>
    <mergeCell ref="N11:O11"/>
    <mergeCell ref="J9:L9"/>
    <mergeCell ref="J3:K3"/>
    <mergeCell ref="G3:H3"/>
    <mergeCell ref="G4:H4"/>
    <mergeCell ref="A33:B33"/>
    <mergeCell ref="A34:B34"/>
    <mergeCell ref="C20:F20"/>
    <mergeCell ref="A21:B21"/>
    <mergeCell ref="A24:B24"/>
    <mergeCell ref="A29:B29"/>
    <mergeCell ref="N1:O1"/>
    <mergeCell ref="J1:K1"/>
    <mergeCell ref="J2:K2"/>
    <mergeCell ref="J4:K4"/>
    <mergeCell ref="J6:K6"/>
    <mergeCell ref="J7:K7"/>
    <mergeCell ref="J8:K8"/>
    <mergeCell ref="N2:O2"/>
    <mergeCell ref="N3:O3"/>
    <mergeCell ref="N5:O5"/>
    <mergeCell ref="N7:O7"/>
    <mergeCell ref="A173:B173"/>
    <mergeCell ref="A176:B176"/>
    <mergeCell ref="A174:B174"/>
    <mergeCell ref="G7:H7"/>
    <mergeCell ref="A106:B106"/>
    <mergeCell ref="A107:B107"/>
    <mergeCell ref="A68:B68"/>
    <mergeCell ref="A69:B69"/>
    <mergeCell ref="A63:B63"/>
    <mergeCell ref="A64:B64"/>
    <mergeCell ref="A65:B65"/>
    <mergeCell ref="A66:B66"/>
    <mergeCell ref="A67:B67"/>
    <mergeCell ref="A71:B71"/>
    <mergeCell ref="A72:B72"/>
    <mergeCell ref="A73:B73"/>
    <mergeCell ref="A74:B74"/>
    <mergeCell ref="A100:B100"/>
    <mergeCell ref="A35:B35"/>
    <mergeCell ref="A36:B36"/>
    <mergeCell ref="A102:B102"/>
    <mergeCell ref="A76:B76"/>
    <mergeCell ref="A85:B85"/>
    <mergeCell ref="A87:B87"/>
    <mergeCell ref="A178:B178"/>
    <mergeCell ref="A149:B149"/>
    <mergeCell ref="A150:B150"/>
    <mergeCell ref="A144:B144"/>
    <mergeCell ref="A145:B145"/>
    <mergeCell ref="A147:B147"/>
    <mergeCell ref="A103:B103"/>
    <mergeCell ref="A84:B84"/>
    <mergeCell ref="A79:B79"/>
    <mergeCell ref="A80:B80"/>
    <mergeCell ref="A109:B109"/>
    <mergeCell ref="A110:B110"/>
    <mergeCell ref="A101:B101"/>
    <mergeCell ref="A95:B95"/>
    <mergeCell ref="A96:B96"/>
    <mergeCell ref="A120:B120"/>
    <mergeCell ref="A123:B123"/>
    <mergeCell ref="A124:B124"/>
    <mergeCell ref="A125:B125"/>
    <mergeCell ref="A126:B126"/>
    <mergeCell ref="A122:B122"/>
    <mergeCell ref="A121:B121"/>
    <mergeCell ref="A115:B115"/>
    <mergeCell ref="A116:B116"/>
    <mergeCell ref="A184:B184"/>
    <mergeCell ref="A185:B185"/>
    <mergeCell ref="A187:B187"/>
    <mergeCell ref="A188:B188"/>
    <mergeCell ref="A181:B181"/>
    <mergeCell ref="N12:P12"/>
    <mergeCell ref="A156:B156"/>
    <mergeCell ref="A158:B158"/>
    <mergeCell ref="A159:B159"/>
    <mergeCell ref="A161:B161"/>
    <mergeCell ref="A164:B164"/>
    <mergeCell ref="A167:B167"/>
    <mergeCell ref="A165:B165"/>
    <mergeCell ref="A170:B170"/>
    <mergeCell ref="A151:B151"/>
    <mergeCell ref="A152:B152"/>
    <mergeCell ref="A153:B153"/>
    <mergeCell ref="A129:B129"/>
    <mergeCell ref="A132:B132"/>
    <mergeCell ref="A133:B133"/>
    <mergeCell ref="A134:B134"/>
    <mergeCell ref="A139:B139"/>
    <mergeCell ref="A141:B141"/>
    <mergeCell ref="A143:B143"/>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5</xdr:col>
                    <xdr:colOff>9525</xdr:colOff>
                    <xdr:row>7</xdr:row>
                    <xdr:rowOff>9525</xdr:rowOff>
                  </from>
                  <to>
                    <xdr:col>5</xdr:col>
                    <xdr:colOff>552450</xdr:colOff>
                    <xdr:row>7</xdr:row>
                    <xdr:rowOff>142875</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5</xdr:col>
                    <xdr:colOff>9525</xdr:colOff>
                    <xdr:row>6</xdr:row>
                    <xdr:rowOff>9525</xdr:rowOff>
                  </from>
                  <to>
                    <xdr:col>5</xdr:col>
                    <xdr:colOff>552450</xdr:colOff>
                    <xdr:row>7</xdr:row>
                    <xdr:rowOff>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5</xdr:col>
                    <xdr:colOff>9525</xdr:colOff>
                    <xdr:row>8</xdr:row>
                    <xdr:rowOff>9525</xdr:rowOff>
                  </from>
                  <to>
                    <xdr:col>5</xdr:col>
                    <xdr:colOff>552450</xdr:colOff>
                    <xdr:row>8</xdr:row>
                    <xdr:rowOff>142875</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7</xdr:col>
                    <xdr:colOff>0</xdr:colOff>
                    <xdr:row>129</xdr:row>
                    <xdr:rowOff>0</xdr:rowOff>
                  </from>
                  <to>
                    <xdr:col>8</xdr:col>
                    <xdr:colOff>9525</xdr:colOff>
                    <xdr:row>130</xdr:row>
                    <xdr:rowOff>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7</xdr:col>
                    <xdr:colOff>0</xdr:colOff>
                    <xdr:row>142</xdr:row>
                    <xdr:rowOff>0</xdr:rowOff>
                  </from>
                  <to>
                    <xdr:col>8</xdr:col>
                    <xdr:colOff>0</xdr:colOff>
                    <xdr:row>142</xdr:row>
                    <xdr:rowOff>142875</xdr:rowOff>
                  </to>
                </anchor>
              </controlPr>
            </control>
          </mc:Choice>
        </mc:AlternateContent>
        <mc:AlternateContent xmlns:mc="http://schemas.openxmlformats.org/markup-compatibility/2006">
          <mc:Choice Requires="x14">
            <control shapeId="5131" r:id="rId9" name="Check Box 11">
              <controlPr defaultSize="0" autoFill="0" autoLine="0" autoPict="0">
                <anchor moveWithCells="1">
                  <from>
                    <xdr:col>12</xdr:col>
                    <xdr:colOff>9525</xdr:colOff>
                    <xdr:row>1</xdr:row>
                    <xdr:rowOff>9525</xdr:rowOff>
                  </from>
                  <to>
                    <xdr:col>13</xdr:col>
                    <xdr:colOff>0</xdr:colOff>
                    <xdr:row>1</xdr:row>
                    <xdr:rowOff>142875</xdr:rowOff>
                  </to>
                </anchor>
              </controlPr>
            </control>
          </mc:Choice>
        </mc:AlternateContent>
        <mc:AlternateContent xmlns:mc="http://schemas.openxmlformats.org/markup-compatibility/2006">
          <mc:Choice Requires="x14">
            <control shapeId="5132" r:id="rId10" name="Check Box 12">
              <controlPr defaultSize="0" autoFill="0" autoLine="0" autoPict="0">
                <anchor moveWithCells="1">
                  <from>
                    <xdr:col>16</xdr:col>
                    <xdr:colOff>9525</xdr:colOff>
                    <xdr:row>1</xdr:row>
                    <xdr:rowOff>9525</xdr:rowOff>
                  </from>
                  <to>
                    <xdr:col>16</xdr:col>
                    <xdr:colOff>485775</xdr:colOff>
                    <xdr:row>1</xdr:row>
                    <xdr:rowOff>142875</xdr:rowOff>
                  </to>
                </anchor>
              </controlPr>
            </control>
          </mc:Choice>
        </mc:AlternateContent>
        <mc:AlternateContent xmlns:mc="http://schemas.openxmlformats.org/markup-compatibility/2006">
          <mc:Choice Requires="x14">
            <control shapeId="5133" r:id="rId11" name="Check Box 13">
              <controlPr defaultSize="0" autoFill="0" autoLine="0" autoPict="0">
                <anchor moveWithCells="1">
                  <from>
                    <xdr:col>12</xdr:col>
                    <xdr:colOff>9525</xdr:colOff>
                    <xdr:row>2</xdr:row>
                    <xdr:rowOff>9525</xdr:rowOff>
                  </from>
                  <to>
                    <xdr:col>13</xdr:col>
                    <xdr:colOff>0</xdr:colOff>
                    <xdr:row>2</xdr:row>
                    <xdr:rowOff>142875</xdr:rowOff>
                  </to>
                </anchor>
              </controlPr>
            </control>
          </mc:Choice>
        </mc:AlternateContent>
        <mc:AlternateContent xmlns:mc="http://schemas.openxmlformats.org/markup-compatibility/2006">
          <mc:Choice Requires="x14">
            <control shapeId="5134" r:id="rId12" name="Check Box 14">
              <controlPr defaultSize="0" autoFill="0" autoLine="0" autoPict="0">
                <anchor moveWithCells="1">
                  <from>
                    <xdr:col>12</xdr:col>
                    <xdr:colOff>9525</xdr:colOff>
                    <xdr:row>3</xdr:row>
                    <xdr:rowOff>9525</xdr:rowOff>
                  </from>
                  <to>
                    <xdr:col>13</xdr:col>
                    <xdr:colOff>0</xdr:colOff>
                    <xdr:row>3</xdr:row>
                    <xdr:rowOff>142875</xdr:rowOff>
                  </to>
                </anchor>
              </controlPr>
            </control>
          </mc:Choice>
        </mc:AlternateContent>
        <mc:AlternateContent xmlns:mc="http://schemas.openxmlformats.org/markup-compatibility/2006">
          <mc:Choice Requires="x14">
            <control shapeId="5135" r:id="rId13" name="Check Box 15">
              <controlPr defaultSize="0" autoFill="0" autoLine="0" autoPict="0">
                <anchor moveWithCells="1">
                  <from>
                    <xdr:col>12</xdr:col>
                    <xdr:colOff>9525</xdr:colOff>
                    <xdr:row>5</xdr:row>
                    <xdr:rowOff>9525</xdr:rowOff>
                  </from>
                  <to>
                    <xdr:col>13</xdr:col>
                    <xdr:colOff>0</xdr:colOff>
                    <xdr:row>5</xdr:row>
                    <xdr:rowOff>142875</xdr:rowOff>
                  </to>
                </anchor>
              </controlPr>
            </control>
          </mc:Choice>
        </mc:AlternateContent>
        <mc:AlternateContent xmlns:mc="http://schemas.openxmlformats.org/markup-compatibility/2006">
          <mc:Choice Requires="x14">
            <control shapeId="5136" r:id="rId14" name="Check Box 16">
              <controlPr defaultSize="0" autoFill="0" autoLine="0" autoPict="0">
                <anchor moveWithCells="1">
                  <from>
                    <xdr:col>12</xdr:col>
                    <xdr:colOff>9525</xdr:colOff>
                    <xdr:row>6</xdr:row>
                    <xdr:rowOff>9525</xdr:rowOff>
                  </from>
                  <to>
                    <xdr:col>13</xdr:col>
                    <xdr:colOff>0</xdr:colOff>
                    <xdr:row>6</xdr:row>
                    <xdr:rowOff>142875</xdr:rowOff>
                  </to>
                </anchor>
              </controlPr>
            </control>
          </mc:Choice>
        </mc:AlternateContent>
        <mc:AlternateContent xmlns:mc="http://schemas.openxmlformats.org/markup-compatibility/2006">
          <mc:Choice Requires="x14">
            <control shapeId="5137" r:id="rId15" name="Check Box 17">
              <controlPr defaultSize="0" autoFill="0" autoLine="0" autoPict="0">
                <anchor moveWithCells="1">
                  <from>
                    <xdr:col>12</xdr:col>
                    <xdr:colOff>9525</xdr:colOff>
                    <xdr:row>7</xdr:row>
                    <xdr:rowOff>9525</xdr:rowOff>
                  </from>
                  <to>
                    <xdr:col>13</xdr:col>
                    <xdr:colOff>0</xdr:colOff>
                    <xdr:row>7</xdr:row>
                    <xdr:rowOff>142875</xdr:rowOff>
                  </to>
                </anchor>
              </controlPr>
            </control>
          </mc:Choice>
        </mc:AlternateContent>
        <mc:AlternateContent xmlns:mc="http://schemas.openxmlformats.org/markup-compatibility/2006">
          <mc:Choice Requires="x14">
            <control shapeId="5138" r:id="rId16" name="Check Box 18">
              <controlPr defaultSize="0" autoFill="0" autoLine="0" autoPict="0">
                <anchor moveWithCells="1">
                  <from>
                    <xdr:col>16</xdr:col>
                    <xdr:colOff>9525</xdr:colOff>
                    <xdr:row>2</xdr:row>
                    <xdr:rowOff>9525</xdr:rowOff>
                  </from>
                  <to>
                    <xdr:col>16</xdr:col>
                    <xdr:colOff>485775</xdr:colOff>
                    <xdr:row>2</xdr:row>
                    <xdr:rowOff>142875</xdr:rowOff>
                  </to>
                </anchor>
              </controlPr>
            </control>
          </mc:Choice>
        </mc:AlternateContent>
        <mc:AlternateContent xmlns:mc="http://schemas.openxmlformats.org/markup-compatibility/2006">
          <mc:Choice Requires="x14">
            <control shapeId="5139" r:id="rId17" name="Check Box 19">
              <controlPr defaultSize="0" autoFill="0" autoLine="0" autoPict="0">
                <anchor moveWithCells="1">
                  <from>
                    <xdr:col>16</xdr:col>
                    <xdr:colOff>9525</xdr:colOff>
                    <xdr:row>3</xdr:row>
                    <xdr:rowOff>9525</xdr:rowOff>
                  </from>
                  <to>
                    <xdr:col>16</xdr:col>
                    <xdr:colOff>485775</xdr:colOff>
                    <xdr:row>3</xdr:row>
                    <xdr:rowOff>142875</xdr:rowOff>
                  </to>
                </anchor>
              </controlPr>
            </control>
          </mc:Choice>
        </mc:AlternateContent>
        <mc:AlternateContent xmlns:mc="http://schemas.openxmlformats.org/markup-compatibility/2006">
          <mc:Choice Requires="x14">
            <control shapeId="5140" r:id="rId18" name="Check Box 20">
              <controlPr defaultSize="0" autoFill="0" autoLine="0" autoPict="0">
                <anchor moveWithCells="1">
                  <from>
                    <xdr:col>16</xdr:col>
                    <xdr:colOff>9525</xdr:colOff>
                    <xdr:row>4</xdr:row>
                    <xdr:rowOff>9525</xdr:rowOff>
                  </from>
                  <to>
                    <xdr:col>16</xdr:col>
                    <xdr:colOff>485775</xdr:colOff>
                    <xdr:row>4</xdr:row>
                    <xdr:rowOff>142875</xdr:rowOff>
                  </to>
                </anchor>
              </controlPr>
            </control>
          </mc:Choice>
        </mc:AlternateContent>
        <mc:AlternateContent xmlns:mc="http://schemas.openxmlformats.org/markup-compatibility/2006">
          <mc:Choice Requires="x14">
            <control shapeId="5141" r:id="rId19" name="Check Box 21">
              <controlPr defaultSize="0" autoFill="0" autoLine="0" autoPict="0">
                <anchor moveWithCells="1">
                  <from>
                    <xdr:col>16</xdr:col>
                    <xdr:colOff>9525</xdr:colOff>
                    <xdr:row>6</xdr:row>
                    <xdr:rowOff>9525</xdr:rowOff>
                  </from>
                  <to>
                    <xdr:col>16</xdr:col>
                    <xdr:colOff>485775</xdr:colOff>
                    <xdr:row>6</xdr:row>
                    <xdr:rowOff>142875</xdr:rowOff>
                  </to>
                </anchor>
              </controlPr>
            </control>
          </mc:Choice>
        </mc:AlternateContent>
        <mc:AlternateContent xmlns:mc="http://schemas.openxmlformats.org/markup-compatibility/2006">
          <mc:Choice Requires="x14">
            <control shapeId="5142" r:id="rId20" name="Check Box 22">
              <controlPr defaultSize="0" autoFill="0" autoLine="0" autoPict="0">
                <anchor moveWithCells="1">
                  <from>
                    <xdr:col>16</xdr:col>
                    <xdr:colOff>9525</xdr:colOff>
                    <xdr:row>9</xdr:row>
                    <xdr:rowOff>9525</xdr:rowOff>
                  </from>
                  <to>
                    <xdr:col>16</xdr:col>
                    <xdr:colOff>485775</xdr:colOff>
                    <xdr:row>9</xdr:row>
                    <xdr:rowOff>142875</xdr:rowOff>
                  </to>
                </anchor>
              </controlPr>
            </control>
          </mc:Choice>
        </mc:AlternateContent>
        <mc:AlternateContent xmlns:mc="http://schemas.openxmlformats.org/markup-compatibility/2006">
          <mc:Choice Requires="x14">
            <control shapeId="5143" r:id="rId21" name="Check Box 23">
              <controlPr defaultSize="0" autoFill="0" autoLine="0" autoPict="0">
                <anchor moveWithCells="1">
                  <from>
                    <xdr:col>16</xdr:col>
                    <xdr:colOff>9525</xdr:colOff>
                    <xdr:row>10</xdr:row>
                    <xdr:rowOff>9525</xdr:rowOff>
                  </from>
                  <to>
                    <xdr:col>16</xdr:col>
                    <xdr:colOff>485775</xdr:colOff>
                    <xdr:row>10</xdr:row>
                    <xdr:rowOff>142875</xdr:rowOff>
                  </to>
                </anchor>
              </controlPr>
            </control>
          </mc:Choice>
        </mc:AlternateContent>
        <mc:AlternateContent xmlns:mc="http://schemas.openxmlformats.org/markup-compatibility/2006">
          <mc:Choice Requires="x14">
            <control shapeId="5144" r:id="rId22" name="Check Box 24">
              <controlPr defaultSize="0" autoFill="0" autoLine="0" autoPict="0">
                <anchor moveWithCells="1">
                  <from>
                    <xdr:col>16</xdr:col>
                    <xdr:colOff>9525</xdr:colOff>
                    <xdr:row>7</xdr:row>
                    <xdr:rowOff>9525</xdr:rowOff>
                  </from>
                  <to>
                    <xdr:col>16</xdr:col>
                    <xdr:colOff>485775</xdr:colOff>
                    <xdr:row>7</xdr:row>
                    <xdr:rowOff>142875</xdr:rowOff>
                  </to>
                </anchor>
              </controlPr>
            </control>
          </mc:Choice>
        </mc:AlternateContent>
        <mc:AlternateContent xmlns:mc="http://schemas.openxmlformats.org/markup-compatibility/2006">
          <mc:Choice Requires="x14">
            <control shapeId="5146" r:id="rId23" name="Check Box 26">
              <controlPr defaultSize="0" autoFill="0" autoLine="0" autoPict="0">
                <anchor moveWithCells="1">
                  <from>
                    <xdr:col>16</xdr:col>
                    <xdr:colOff>9525</xdr:colOff>
                    <xdr:row>8</xdr:row>
                    <xdr:rowOff>9525</xdr:rowOff>
                  </from>
                  <to>
                    <xdr:col>16</xdr:col>
                    <xdr:colOff>485775</xdr:colOff>
                    <xdr:row>8</xdr:row>
                    <xdr:rowOff>142875</xdr:rowOff>
                  </to>
                </anchor>
              </controlPr>
            </control>
          </mc:Choice>
        </mc:AlternateContent>
        <mc:AlternateContent xmlns:mc="http://schemas.openxmlformats.org/markup-compatibility/2006">
          <mc:Choice Requires="x14">
            <control shapeId="5147" r:id="rId24" name="Check Box 27">
              <controlPr defaultSize="0" autoFill="0" autoLine="0" autoPict="0">
                <anchor moveWithCells="1">
                  <from>
                    <xdr:col>5</xdr:col>
                    <xdr:colOff>9525</xdr:colOff>
                    <xdr:row>10</xdr:row>
                    <xdr:rowOff>9525</xdr:rowOff>
                  </from>
                  <to>
                    <xdr:col>5</xdr:col>
                    <xdr:colOff>552450</xdr:colOff>
                    <xdr:row>10</xdr:row>
                    <xdr:rowOff>142875</xdr:rowOff>
                  </to>
                </anchor>
              </controlPr>
            </control>
          </mc:Choice>
        </mc:AlternateContent>
        <mc:AlternateContent xmlns:mc="http://schemas.openxmlformats.org/markup-compatibility/2006">
          <mc:Choice Requires="x14">
            <control shapeId="5148" r:id="rId25" name="Check Box 28">
              <controlPr defaultSize="0" autoFill="0" autoLine="0" autoPict="0">
                <anchor moveWithCells="1">
                  <from>
                    <xdr:col>5</xdr:col>
                    <xdr:colOff>9525</xdr:colOff>
                    <xdr:row>9</xdr:row>
                    <xdr:rowOff>9525</xdr:rowOff>
                  </from>
                  <to>
                    <xdr:col>5</xdr:col>
                    <xdr:colOff>552450</xdr:colOff>
                    <xdr:row>9</xdr:row>
                    <xdr:rowOff>142875</xdr:rowOff>
                  </to>
                </anchor>
              </controlPr>
            </control>
          </mc:Choice>
        </mc:AlternateContent>
        <mc:AlternateContent xmlns:mc="http://schemas.openxmlformats.org/markup-compatibility/2006">
          <mc:Choice Requires="x14">
            <control shapeId="5149" r:id="rId26" name="Check Box 29">
              <controlPr defaultSize="0" autoFill="0" autoLine="0" autoPict="0">
                <anchor moveWithCells="1">
                  <from>
                    <xdr:col>12</xdr:col>
                    <xdr:colOff>9525</xdr:colOff>
                    <xdr:row>9</xdr:row>
                    <xdr:rowOff>9525</xdr:rowOff>
                  </from>
                  <to>
                    <xdr:col>13</xdr:col>
                    <xdr:colOff>0</xdr:colOff>
                    <xdr:row>9</xdr:row>
                    <xdr:rowOff>142875</xdr:rowOff>
                  </to>
                </anchor>
              </controlPr>
            </control>
          </mc:Choice>
        </mc:AlternateContent>
        <mc:AlternateContent xmlns:mc="http://schemas.openxmlformats.org/markup-compatibility/2006">
          <mc:Choice Requires="x14">
            <control shapeId="5150" r:id="rId27" name="Check Box 30">
              <controlPr defaultSize="0" autoFill="0" autoLine="0" autoPict="0">
                <anchor moveWithCells="1">
                  <from>
                    <xdr:col>12</xdr:col>
                    <xdr:colOff>9525</xdr:colOff>
                    <xdr:row>10</xdr:row>
                    <xdr:rowOff>9525</xdr:rowOff>
                  </from>
                  <to>
                    <xdr:col>13</xdr:col>
                    <xdr:colOff>0</xdr:colOff>
                    <xdr:row>10</xdr:row>
                    <xdr:rowOff>142875</xdr:rowOff>
                  </to>
                </anchor>
              </controlPr>
            </control>
          </mc:Choice>
        </mc:AlternateContent>
        <mc:AlternateContent xmlns:mc="http://schemas.openxmlformats.org/markup-compatibility/2006">
          <mc:Choice Requires="x14">
            <control shapeId="5151" r:id="rId28" name="Check Box 31">
              <controlPr defaultSize="0" autoFill="0" autoLine="0" autoPict="0">
                <anchor moveWithCells="1">
                  <from>
                    <xdr:col>12</xdr:col>
                    <xdr:colOff>9525</xdr:colOff>
                    <xdr:row>11</xdr:row>
                    <xdr:rowOff>9525</xdr:rowOff>
                  </from>
                  <to>
                    <xdr:col>13</xdr:col>
                    <xdr:colOff>0</xdr:colOff>
                    <xdr:row>11</xdr:row>
                    <xdr:rowOff>142875</xdr:rowOff>
                  </to>
                </anchor>
              </controlPr>
            </control>
          </mc:Choice>
        </mc:AlternateContent>
        <mc:AlternateContent xmlns:mc="http://schemas.openxmlformats.org/markup-compatibility/2006">
          <mc:Choice Requires="x14">
            <control shapeId="5152" r:id="rId29" name="Check Box 32">
              <controlPr defaultSize="0" autoFill="0" autoLine="0" autoPict="0">
                <anchor moveWithCells="1">
                  <from>
                    <xdr:col>12</xdr:col>
                    <xdr:colOff>9525</xdr:colOff>
                    <xdr:row>12</xdr:row>
                    <xdr:rowOff>9525</xdr:rowOff>
                  </from>
                  <to>
                    <xdr:col>13</xdr:col>
                    <xdr:colOff>0</xdr:colOff>
                    <xdr:row>12</xdr:row>
                    <xdr:rowOff>142875</xdr:rowOff>
                  </to>
                </anchor>
              </controlPr>
            </control>
          </mc:Choice>
        </mc:AlternateContent>
        <mc:AlternateContent xmlns:mc="http://schemas.openxmlformats.org/markup-compatibility/2006">
          <mc:Choice Requires="x14">
            <control shapeId="5153" r:id="rId30" name="Check Box 33">
              <controlPr defaultSize="0" autoFill="0" autoLine="0" autoPict="0">
                <anchor moveWithCells="1">
                  <from>
                    <xdr:col>12</xdr:col>
                    <xdr:colOff>9525</xdr:colOff>
                    <xdr:row>4</xdr:row>
                    <xdr:rowOff>9525</xdr:rowOff>
                  </from>
                  <to>
                    <xdr:col>13</xdr:col>
                    <xdr:colOff>0</xdr:colOff>
                    <xdr:row>4</xdr:row>
                    <xdr:rowOff>142875</xdr:rowOff>
                  </to>
                </anchor>
              </controlPr>
            </control>
          </mc:Choice>
        </mc:AlternateContent>
        <mc:AlternateContent xmlns:mc="http://schemas.openxmlformats.org/markup-compatibility/2006">
          <mc:Choice Requires="x14">
            <control shapeId="5189" r:id="rId31" name="Check Box 69">
              <controlPr defaultSize="0" autoFill="0" autoLine="0" autoPict="0">
                <anchor moveWithCells="1">
                  <from>
                    <xdr:col>20</xdr:col>
                    <xdr:colOff>9525</xdr:colOff>
                    <xdr:row>1</xdr:row>
                    <xdr:rowOff>9525</xdr:rowOff>
                  </from>
                  <to>
                    <xdr:col>21</xdr:col>
                    <xdr:colOff>0</xdr:colOff>
                    <xdr:row>1</xdr:row>
                    <xdr:rowOff>142875</xdr:rowOff>
                  </to>
                </anchor>
              </controlPr>
            </control>
          </mc:Choice>
        </mc:AlternateContent>
        <mc:AlternateContent xmlns:mc="http://schemas.openxmlformats.org/markup-compatibility/2006">
          <mc:Choice Requires="x14">
            <control shapeId="5190" r:id="rId32" name="Check Box 70">
              <controlPr defaultSize="0" autoFill="0" autoLine="0" autoPict="0">
                <anchor moveWithCells="1">
                  <from>
                    <xdr:col>20</xdr:col>
                    <xdr:colOff>9525</xdr:colOff>
                    <xdr:row>2</xdr:row>
                    <xdr:rowOff>9525</xdr:rowOff>
                  </from>
                  <to>
                    <xdr:col>21</xdr:col>
                    <xdr:colOff>0</xdr:colOff>
                    <xdr:row>2</xdr:row>
                    <xdr:rowOff>142875</xdr:rowOff>
                  </to>
                </anchor>
              </controlPr>
            </control>
          </mc:Choice>
        </mc:AlternateContent>
        <mc:AlternateContent xmlns:mc="http://schemas.openxmlformats.org/markup-compatibility/2006">
          <mc:Choice Requires="x14">
            <control shapeId="5191" r:id="rId33" name="Check Box 71">
              <controlPr defaultSize="0" autoFill="0" autoLine="0" autoPict="0">
                <anchor moveWithCells="1">
                  <from>
                    <xdr:col>20</xdr:col>
                    <xdr:colOff>9525</xdr:colOff>
                    <xdr:row>3</xdr:row>
                    <xdr:rowOff>9525</xdr:rowOff>
                  </from>
                  <to>
                    <xdr:col>21</xdr:col>
                    <xdr:colOff>0</xdr:colOff>
                    <xdr:row>3</xdr:row>
                    <xdr:rowOff>142875</xdr:rowOff>
                  </to>
                </anchor>
              </controlPr>
            </control>
          </mc:Choice>
        </mc:AlternateContent>
        <mc:AlternateContent xmlns:mc="http://schemas.openxmlformats.org/markup-compatibility/2006">
          <mc:Choice Requires="x14">
            <control shapeId="5192" r:id="rId34" name="Check Box 72">
              <controlPr defaultSize="0" autoFill="0" autoLine="0" autoPict="0">
                <anchor moveWithCells="1">
                  <from>
                    <xdr:col>20</xdr:col>
                    <xdr:colOff>9525</xdr:colOff>
                    <xdr:row>4</xdr:row>
                    <xdr:rowOff>9525</xdr:rowOff>
                  </from>
                  <to>
                    <xdr:col>21</xdr:col>
                    <xdr:colOff>0</xdr:colOff>
                    <xdr:row>4</xdr:row>
                    <xdr:rowOff>142875</xdr:rowOff>
                  </to>
                </anchor>
              </controlPr>
            </control>
          </mc:Choice>
        </mc:AlternateContent>
        <mc:AlternateContent xmlns:mc="http://schemas.openxmlformats.org/markup-compatibility/2006">
          <mc:Choice Requires="x14">
            <control shapeId="5193" r:id="rId35" name="Check Box 73">
              <controlPr defaultSize="0" autoFill="0" autoLine="0" autoPict="0">
                <anchor moveWithCells="1">
                  <from>
                    <xdr:col>20</xdr:col>
                    <xdr:colOff>9525</xdr:colOff>
                    <xdr:row>16</xdr:row>
                    <xdr:rowOff>9525</xdr:rowOff>
                  </from>
                  <to>
                    <xdr:col>21</xdr:col>
                    <xdr:colOff>0</xdr:colOff>
                    <xdr:row>16</xdr:row>
                    <xdr:rowOff>142875</xdr:rowOff>
                  </to>
                </anchor>
              </controlPr>
            </control>
          </mc:Choice>
        </mc:AlternateContent>
        <mc:AlternateContent xmlns:mc="http://schemas.openxmlformats.org/markup-compatibility/2006">
          <mc:Choice Requires="x14">
            <control shapeId="5194" r:id="rId36" name="Check Box 74">
              <controlPr defaultSize="0" autoFill="0" autoLine="0" autoPict="0">
                <anchor moveWithCells="1">
                  <from>
                    <xdr:col>20</xdr:col>
                    <xdr:colOff>9525</xdr:colOff>
                    <xdr:row>17</xdr:row>
                    <xdr:rowOff>9525</xdr:rowOff>
                  </from>
                  <to>
                    <xdr:col>21</xdr:col>
                    <xdr:colOff>0</xdr:colOff>
                    <xdr:row>17</xdr:row>
                    <xdr:rowOff>142875</xdr:rowOff>
                  </to>
                </anchor>
              </controlPr>
            </control>
          </mc:Choice>
        </mc:AlternateContent>
        <mc:AlternateContent xmlns:mc="http://schemas.openxmlformats.org/markup-compatibility/2006">
          <mc:Choice Requires="x14">
            <control shapeId="5195" r:id="rId37" name="Check Box 75">
              <controlPr defaultSize="0" autoFill="0" autoLine="0" autoPict="0">
                <anchor moveWithCells="1">
                  <from>
                    <xdr:col>20</xdr:col>
                    <xdr:colOff>9525</xdr:colOff>
                    <xdr:row>5</xdr:row>
                    <xdr:rowOff>9525</xdr:rowOff>
                  </from>
                  <to>
                    <xdr:col>21</xdr:col>
                    <xdr:colOff>0</xdr:colOff>
                    <xdr:row>5</xdr:row>
                    <xdr:rowOff>142875</xdr:rowOff>
                  </to>
                </anchor>
              </controlPr>
            </control>
          </mc:Choice>
        </mc:AlternateContent>
        <mc:AlternateContent xmlns:mc="http://schemas.openxmlformats.org/markup-compatibility/2006">
          <mc:Choice Requires="x14">
            <control shapeId="5196" r:id="rId38" name="Check Box 76">
              <controlPr defaultSize="0" autoFill="0" autoLine="0" autoPict="0">
                <anchor moveWithCells="1">
                  <from>
                    <xdr:col>20</xdr:col>
                    <xdr:colOff>9525</xdr:colOff>
                    <xdr:row>6</xdr:row>
                    <xdr:rowOff>9525</xdr:rowOff>
                  </from>
                  <to>
                    <xdr:col>21</xdr:col>
                    <xdr:colOff>0</xdr:colOff>
                    <xdr:row>6</xdr:row>
                    <xdr:rowOff>142875</xdr:rowOff>
                  </to>
                </anchor>
              </controlPr>
            </control>
          </mc:Choice>
        </mc:AlternateContent>
        <mc:AlternateContent xmlns:mc="http://schemas.openxmlformats.org/markup-compatibility/2006">
          <mc:Choice Requires="x14">
            <control shapeId="5197" r:id="rId39" name="Check Box 77">
              <controlPr defaultSize="0" autoFill="0" autoLine="0" autoPict="0">
                <anchor moveWithCells="1">
                  <from>
                    <xdr:col>20</xdr:col>
                    <xdr:colOff>9525</xdr:colOff>
                    <xdr:row>8</xdr:row>
                    <xdr:rowOff>9525</xdr:rowOff>
                  </from>
                  <to>
                    <xdr:col>21</xdr:col>
                    <xdr:colOff>0</xdr:colOff>
                    <xdr:row>8</xdr:row>
                    <xdr:rowOff>142875</xdr:rowOff>
                  </to>
                </anchor>
              </controlPr>
            </control>
          </mc:Choice>
        </mc:AlternateContent>
        <mc:AlternateContent xmlns:mc="http://schemas.openxmlformats.org/markup-compatibility/2006">
          <mc:Choice Requires="x14">
            <control shapeId="5198" r:id="rId40" name="Check Box 78">
              <controlPr defaultSize="0" autoFill="0" autoLine="0" autoPict="0">
                <anchor moveWithCells="1">
                  <from>
                    <xdr:col>20</xdr:col>
                    <xdr:colOff>9525</xdr:colOff>
                    <xdr:row>9</xdr:row>
                    <xdr:rowOff>9525</xdr:rowOff>
                  </from>
                  <to>
                    <xdr:col>21</xdr:col>
                    <xdr:colOff>0</xdr:colOff>
                    <xdr:row>9</xdr:row>
                    <xdr:rowOff>142875</xdr:rowOff>
                  </to>
                </anchor>
              </controlPr>
            </control>
          </mc:Choice>
        </mc:AlternateContent>
        <mc:AlternateContent xmlns:mc="http://schemas.openxmlformats.org/markup-compatibility/2006">
          <mc:Choice Requires="x14">
            <control shapeId="5199" r:id="rId41" name="Check Box 79">
              <controlPr defaultSize="0" autoFill="0" autoLine="0" autoPict="0">
                <anchor moveWithCells="1">
                  <from>
                    <xdr:col>20</xdr:col>
                    <xdr:colOff>9525</xdr:colOff>
                    <xdr:row>10</xdr:row>
                    <xdr:rowOff>9525</xdr:rowOff>
                  </from>
                  <to>
                    <xdr:col>21</xdr:col>
                    <xdr:colOff>0</xdr:colOff>
                    <xdr:row>10</xdr:row>
                    <xdr:rowOff>142875</xdr:rowOff>
                  </to>
                </anchor>
              </controlPr>
            </control>
          </mc:Choice>
        </mc:AlternateContent>
        <mc:AlternateContent xmlns:mc="http://schemas.openxmlformats.org/markup-compatibility/2006">
          <mc:Choice Requires="x14">
            <control shapeId="5200" r:id="rId42" name="Check Box 80">
              <controlPr defaultSize="0" autoFill="0" autoLine="0" autoPict="0">
                <anchor moveWithCells="1">
                  <from>
                    <xdr:col>20</xdr:col>
                    <xdr:colOff>9525</xdr:colOff>
                    <xdr:row>11</xdr:row>
                    <xdr:rowOff>9525</xdr:rowOff>
                  </from>
                  <to>
                    <xdr:col>21</xdr:col>
                    <xdr:colOff>0</xdr:colOff>
                    <xdr:row>11</xdr:row>
                    <xdr:rowOff>142875</xdr:rowOff>
                  </to>
                </anchor>
              </controlPr>
            </control>
          </mc:Choice>
        </mc:AlternateContent>
        <mc:AlternateContent xmlns:mc="http://schemas.openxmlformats.org/markup-compatibility/2006">
          <mc:Choice Requires="x14">
            <control shapeId="5201" r:id="rId43" name="Check Box 81">
              <controlPr defaultSize="0" autoFill="0" autoLine="0" autoPict="0">
                <anchor moveWithCells="1">
                  <from>
                    <xdr:col>20</xdr:col>
                    <xdr:colOff>9525</xdr:colOff>
                    <xdr:row>12</xdr:row>
                    <xdr:rowOff>9525</xdr:rowOff>
                  </from>
                  <to>
                    <xdr:col>21</xdr:col>
                    <xdr:colOff>0</xdr:colOff>
                    <xdr:row>12</xdr:row>
                    <xdr:rowOff>142875</xdr:rowOff>
                  </to>
                </anchor>
              </controlPr>
            </control>
          </mc:Choice>
        </mc:AlternateContent>
        <mc:AlternateContent xmlns:mc="http://schemas.openxmlformats.org/markup-compatibility/2006">
          <mc:Choice Requires="x14">
            <control shapeId="5202" r:id="rId44" name="Check Box 82">
              <controlPr defaultSize="0" autoFill="0" autoLine="0" autoPict="0">
                <anchor moveWithCells="1">
                  <from>
                    <xdr:col>20</xdr:col>
                    <xdr:colOff>9525</xdr:colOff>
                    <xdr:row>13</xdr:row>
                    <xdr:rowOff>9525</xdr:rowOff>
                  </from>
                  <to>
                    <xdr:col>21</xdr:col>
                    <xdr:colOff>0</xdr:colOff>
                    <xdr:row>13</xdr:row>
                    <xdr:rowOff>142875</xdr:rowOff>
                  </to>
                </anchor>
              </controlPr>
            </control>
          </mc:Choice>
        </mc:AlternateContent>
        <mc:AlternateContent xmlns:mc="http://schemas.openxmlformats.org/markup-compatibility/2006">
          <mc:Choice Requires="x14">
            <control shapeId="5203" r:id="rId45" name="Check Box 83">
              <controlPr defaultSize="0" autoFill="0" autoLine="0" autoPict="0">
                <anchor moveWithCells="1">
                  <from>
                    <xdr:col>20</xdr:col>
                    <xdr:colOff>9525</xdr:colOff>
                    <xdr:row>17</xdr:row>
                    <xdr:rowOff>9525</xdr:rowOff>
                  </from>
                  <to>
                    <xdr:col>21</xdr:col>
                    <xdr:colOff>0</xdr:colOff>
                    <xdr:row>17</xdr:row>
                    <xdr:rowOff>142875</xdr:rowOff>
                  </to>
                </anchor>
              </controlPr>
            </control>
          </mc:Choice>
        </mc:AlternateContent>
        <mc:AlternateContent xmlns:mc="http://schemas.openxmlformats.org/markup-compatibility/2006">
          <mc:Choice Requires="x14">
            <control shapeId="5204" r:id="rId46" name="Check Box 84">
              <controlPr defaultSize="0" autoFill="0" autoLine="0" autoPict="0">
                <anchor moveWithCells="1">
                  <from>
                    <xdr:col>20</xdr:col>
                    <xdr:colOff>9525</xdr:colOff>
                    <xdr:row>13</xdr:row>
                    <xdr:rowOff>9525</xdr:rowOff>
                  </from>
                  <to>
                    <xdr:col>21</xdr:col>
                    <xdr:colOff>0</xdr:colOff>
                    <xdr:row>13</xdr:row>
                    <xdr:rowOff>142875</xdr:rowOff>
                  </to>
                </anchor>
              </controlPr>
            </control>
          </mc:Choice>
        </mc:AlternateContent>
        <mc:AlternateContent xmlns:mc="http://schemas.openxmlformats.org/markup-compatibility/2006">
          <mc:Choice Requires="x14">
            <control shapeId="5205" r:id="rId47" name="Check Box 85">
              <controlPr defaultSize="0" autoFill="0" autoLine="0" autoPict="0">
                <anchor moveWithCells="1">
                  <from>
                    <xdr:col>20</xdr:col>
                    <xdr:colOff>9525</xdr:colOff>
                    <xdr:row>16</xdr:row>
                    <xdr:rowOff>9525</xdr:rowOff>
                  </from>
                  <to>
                    <xdr:col>21</xdr:col>
                    <xdr:colOff>0</xdr:colOff>
                    <xdr:row>16</xdr:row>
                    <xdr:rowOff>142875</xdr:rowOff>
                  </to>
                </anchor>
              </controlPr>
            </control>
          </mc:Choice>
        </mc:AlternateContent>
        <mc:AlternateContent xmlns:mc="http://schemas.openxmlformats.org/markup-compatibility/2006">
          <mc:Choice Requires="x14">
            <control shapeId="5207" r:id="rId48" name="Check Box 87">
              <controlPr defaultSize="0" autoFill="0" autoLine="0" autoPict="0">
                <anchor moveWithCells="1">
                  <from>
                    <xdr:col>20</xdr:col>
                    <xdr:colOff>9525</xdr:colOff>
                    <xdr:row>7</xdr:row>
                    <xdr:rowOff>9525</xdr:rowOff>
                  </from>
                  <to>
                    <xdr:col>21</xdr:col>
                    <xdr:colOff>0</xdr:colOff>
                    <xdr:row>7</xdr:row>
                    <xdr:rowOff>142875</xdr:rowOff>
                  </to>
                </anchor>
              </controlPr>
            </control>
          </mc:Choice>
        </mc:AlternateContent>
        <mc:AlternateContent xmlns:mc="http://schemas.openxmlformats.org/markup-compatibility/2006">
          <mc:Choice Requires="x14">
            <control shapeId="5208" r:id="rId49" name="Check Box 88">
              <controlPr defaultSize="0" autoFill="0" autoLine="0" autoPict="0">
                <anchor moveWithCells="1">
                  <from>
                    <xdr:col>20</xdr:col>
                    <xdr:colOff>9525</xdr:colOff>
                    <xdr:row>14</xdr:row>
                    <xdr:rowOff>9525</xdr:rowOff>
                  </from>
                  <to>
                    <xdr:col>21</xdr:col>
                    <xdr:colOff>0</xdr:colOff>
                    <xdr:row>14</xdr:row>
                    <xdr:rowOff>142875</xdr:rowOff>
                  </to>
                </anchor>
              </controlPr>
            </control>
          </mc:Choice>
        </mc:AlternateContent>
        <mc:AlternateContent xmlns:mc="http://schemas.openxmlformats.org/markup-compatibility/2006">
          <mc:Choice Requires="x14">
            <control shapeId="5209" r:id="rId50" name="Check Box 89">
              <controlPr defaultSize="0" autoFill="0" autoLine="0" autoPict="0">
                <anchor moveWithCells="1">
                  <from>
                    <xdr:col>20</xdr:col>
                    <xdr:colOff>9525</xdr:colOff>
                    <xdr:row>14</xdr:row>
                    <xdr:rowOff>9525</xdr:rowOff>
                  </from>
                  <to>
                    <xdr:col>21</xdr:col>
                    <xdr:colOff>0</xdr:colOff>
                    <xdr:row>14</xdr:row>
                    <xdr:rowOff>142875</xdr:rowOff>
                  </to>
                </anchor>
              </controlPr>
            </control>
          </mc:Choice>
        </mc:AlternateContent>
        <mc:AlternateContent xmlns:mc="http://schemas.openxmlformats.org/markup-compatibility/2006">
          <mc:Choice Requires="x14">
            <control shapeId="5210" r:id="rId51" name="Check Box 90">
              <controlPr defaultSize="0" autoFill="0" autoLine="0" autoPict="0">
                <anchor moveWithCells="1">
                  <from>
                    <xdr:col>5</xdr:col>
                    <xdr:colOff>9525</xdr:colOff>
                    <xdr:row>11</xdr:row>
                    <xdr:rowOff>9525</xdr:rowOff>
                  </from>
                  <to>
                    <xdr:col>5</xdr:col>
                    <xdr:colOff>552450</xdr:colOff>
                    <xdr:row>11</xdr:row>
                    <xdr:rowOff>142875</xdr:rowOff>
                  </to>
                </anchor>
              </controlPr>
            </control>
          </mc:Choice>
        </mc:AlternateContent>
        <mc:AlternateContent xmlns:mc="http://schemas.openxmlformats.org/markup-compatibility/2006">
          <mc:Choice Requires="x14">
            <control shapeId="5211" r:id="rId52" name="Check Box 91">
              <controlPr defaultSize="0" autoFill="0" autoLine="0" autoPict="0">
                <anchor moveWithCells="1">
                  <from>
                    <xdr:col>5</xdr:col>
                    <xdr:colOff>9525</xdr:colOff>
                    <xdr:row>12</xdr:row>
                    <xdr:rowOff>9525</xdr:rowOff>
                  </from>
                  <to>
                    <xdr:col>5</xdr:col>
                    <xdr:colOff>552450</xdr:colOff>
                    <xdr:row>12</xdr:row>
                    <xdr:rowOff>142875</xdr:rowOff>
                  </to>
                </anchor>
              </controlPr>
            </control>
          </mc:Choice>
        </mc:AlternateContent>
        <mc:AlternateContent xmlns:mc="http://schemas.openxmlformats.org/markup-compatibility/2006">
          <mc:Choice Requires="x14">
            <control shapeId="5212" r:id="rId53" name="Check Box 92">
              <controlPr defaultSize="0" autoFill="0" autoLine="0" autoPict="0">
                <anchor moveWithCells="1">
                  <from>
                    <xdr:col>20</xdr:col>
                    <xdr:colOff>9525</xdr:colOff>
                    <xdr:row>15</xdr:row>
                    <xdr:rowOff>9525</xdr:rowOff>
                  </from>
                  <to>
                    <xdr:col>21</xdr:col>
                    <xdr:colOff>0</xdr:colOff>
                    <xdr:row>15</xdr:row>
                    <xdr:rowOff>142875</xdr:rowOff>
                  </to>
                </anchor>
              </controlPr>
            </control>
          </mc:Choice>
        </mc:AlternateContent>
        <mc:AlternateContent xmlns:mc="http://schemas.openxmlformats.org/markup-compatibility/2006">
          <mc:Choice Requires="x14">
            <control shapeId="5213" r:id="rId54" name="Check Box 93">
              <controlPr defaultSize="0" autoFill="0" autoLine="0" autoPict="0">
                <anchor moveWithCells="1">
                  <from>
                    <xdr:col>20</xdr:col>
                    <xdr:colOff>9525</xdr:colOff>
                    <xdr:row>15</xdr:row>
                    <xdr:rowOff>9525</xdr:rowOff>
                  </from>
                  <to>
                    <xdr:col>21</xdr:col>
                    <xdr:colOff>0</xdr:colOff>
                    <xdr:row>15</xdr:row>
                    <xdr:rowOff>142875</xdr:rowOff>
                  </to>
                </anchor>
              </controlPr>
            </control>
          </mc:Choice>
        </mc:AlternateContent>
        <mc:AlternateContent xmlns:mc="http://schemas.openxmlformats.org/markup-compatibility/2006">
          <mc:Choice Requires="x14">
            <control shapeId="5214" r:id="rId55" name="Check Box 94">
              <controlPr defaultSize="0" autoFill="0" autoLine="0" autoPict="0">
                <anchor moveWithCells="1">
                  <from>
                    <xdr:col>7</xdr:col>
                    <xdr:colOff>0</xdr:colOff>
                    <xdr:row>148</xdr:row>
                    <xdr:rowOff>0</xdr:rowOff>
                  </from>
                  <to>
                    <xdr:col>8</xdr:col>
                    <xdr:colOff>0</xdr:colOff>
                    <xdr:row>148</xdr:row>
                    <xdr:rowOff>142875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116"/>
  <sheetViews>
    <sheetView workbookViewId="0"/>
  </sheetViews>
  <sheetFormatPr defaultRowHeight="15" x14ac:dyDescent="0.25"/>
  <cols>
    <col min="2" max="2" width="9.42578125" customWidth="1"/>
    <col min="6" max="7" width="9.140625" customWidth="1"/>
  </cols>
  <sheetData>
    <row r="2" spans="1:27" x14ac:dyDescent="0.25">
      <c r="A2" s="304" t="s">
        <v>70</v>
      </c>
      <c r="B2" s="304"/>
      <c r="C2" s="3">
        <f>CSBaseSpd</f>
        <v>1.4</v>
      </c>
    </row>
    <row r="3" spans="1:27" x14ac:dyDescent="0.25">
      <c r="A3" s="304" t="s">
        <v>23</v>
      </c>
      <c r="B3" s="304"/>
      <c r="C3" s="3">
        <f>CSIAS+eDPS!$D$6</f>
        <v>10</v>
      </c>
    </row>
    <row r="4" spans="1:27" x14ac:dyDescent="0.25">
      <c r="A4" s="304" t="s">
        <v>24</v>
      </c>
      <c r="B4" s="304"/>
      <c r="C4">
        <f>APS</f>
        <v>1.54</v>
      </c>
    </row>
    <row r="6" spans="1:27" x14ac:dyDescent="0.25">
      <c r="A6" s="375" t="s">
        <v>71</v>
      </c>
      <c r="B6" s="375"/>
      <c r="C6" s="375"/>
      <c r="D6" s="375"/>
      <c r="E6" s="375"/>
      <c r="F6" s="375"/>
      <c r="G6" s="16"/>
      <c r="H6" s="375" t="s">
        <v>72</v>
      </c>
      <c r="I6" s="375"/>
      <c r="J6" s="375"/>
      <c r="K6" s="375"/>
      <c r="L6" s="375"/>
      <c r="M6" s="375"/>
      <c r="O6" s="375" t="s">
        <v>73</v>
      </c>
      <c r="P6" s="375"/>
      <c r="Q6" s="375"/>
      <c r="R6" s="375"/>
      <c r="S6" s="375"/>
      <c r="T6" s="375"/>
      <c r="V6" s="375" t="s">
        <v>74</v>
      </c>
      <c r="W6" s="375"/>
      <c r="X6" s="375"/>
      <c r="Y6" s="375"/>
      <c r="Z6" s="375"/>
      <c r="AA6" s="375"/>
    </row>
    <row r="7" spans="1:27" x14ac:dyDescent="0.25">
      <c r="A7" s="17" t="s">
        <v>75</v>
      </c>
      <c r="B7" s="1" t="s">
        <v>76</v>
      </c>
      <c r="C7" s="18" t="s">
        <v>77</v>
      </c>
      <c r="D7" s="18" t="s">
        <v>78</v>
      </c>
      <c r="E7" s="18" t="s">
        <v>79</v>
      </c>
      <c r="F7" s="19" t="s">
        <v>80</v>
      </c>
      <c r="H7" s="17" t="s">
        <v>75</v>
      </c>
      <c r="I7" s="1" t="s">
        <v>76</v>
      </c>
      <c r="J7" s="1" t="s">
        <v>77</v>
      </c>
      <c r="K7" s="1" t="s">
        <v>78</v>
      </c>
      <c r="L7" s="1" t="s">
        <v>79</v>
      </c>
      <c r="M7" s="19" t="s">
        <v>80</v>
      </c>
      <c r="O7" s="17" t="s">
        <v>75</v>
      </c>
      <c r="P7" s="1" t="s">
        <v>76</v>
      </c>
      <c r="Q7" s="1" t="s">
        <v>77</v>
      </c>
      <c r="R7" s="1" t="s">
        <v>78</v>
      </c>
      <c r="S7" s="1" t="s">
        <v>79</v>
      </c>
      <c r="T7" s="19" t="s">
        <v>80</v>
      </c>
      <c r="V7" s="17" t="s">
        <v>75</v>
      </c>
      <c r="W7" s="1" t="s">
        <v>76</v>
      </c>
      <c r="X7" s="1" t="s">
        <v>77</v>
      </c>
      <c r="Y7" s="1" t="s">
        <v>78</v>
      </c>
      <c r="Z7" s="1" t="s">
        <v>79</v>
      </c>
      <c r="AA7" s="19" t="s">
        <v>80</v>
      </c>
    </row>
    <row r="8" spans="1:27" x14ac:dyDescent="0.25">
      <c r="A8" s="20">
        <f>60/(E8+1)+0.000001</f>
        <v>4.6153856153846151</v>
      </c>
      <c r="B8" s="20">
        <f t="shared" ref="B8:B71" si="0">60/E8</f>
        <v>5</v>
      </c>
      <c r="C8" s="21">
        <f t="shared" ref="C8:C71" si="1">1/D8</f>
        <v>5</v>
      </c>
      <c r="D8" s="21">
        <f>1/B8</f>
        <v>0.2</v>
      </c>
      <c r="E8" s="21">
        <v>12</v>
      </c>
      <c r="F8" s="21">
        <f>(A8-$C$4)/$C$2*100</f>
        <v>219.6704010989011</v>
      </c>
      <c r="G8" s="21"/>
      <c r="H8" s="20">
        <f>60/(L8+1)/2+0.000001</f>
        <v>4.2857152857142857</v>
      </c>
      <c r="I8" s="20">
        <f>60/L8/2</f>
        <v>5</v>
      </c>
      <c r="J8" s="21">
        <f>1/K8</f>
        <v>10</v>
      </c>
      <c r="K8" s="21">
        <f t="shared" ref="K8:K62" si="2">1/I8/2</f>
        <v>0.1</v>
      </c>
      <c r="L8" s="21">
        <v>6</v>
      </c>
      <c r="M8" s="21">
        <f>(H8-$C$4)/$C$2*100</f>
        <v>196.12252040816327</v>
      </c>
      <c r="N8" s="21"/>
      <c r="O8" s="20">
        <f>60/(S8+1)/3+0.000001</f>
        <v>4.0000010000000001</v>
      </c>
      <c r="P8" s="20">
        <f>60/S8/3</f>
        <v>5</v>
      </c>
      <c r="Q8" s="21">
        <f>1/R8</f>
        <v>15</v>
      </c>
      <c r="R8" s="21">
        <f>1/P8/3</f>
        <v>6.6666666666666666E-2</v>
      </c>
      <c r="S8" s="21">
        <v>4</v>
      </c>
      <c r="T8" s="21">
        <f>(O8-$C$4)/$C$2*100</f>
        <v>175.71435714285718</v>
      </c>
      <c r="V8" s="20">
        <f>60/(Z8+1)/1.5+0.000001</f>
        <v>4.4444454444444448</v>
      </c>
      <c r="W8" s="20">
        <f>60/Z8/1.5</f>
        <v>5</v>
      </c>
      <c r="X8" s="21">
        <f>1/Y8</f>
        <v>7.5</v>
      </c>
      <c r="Y8" s="21">
        <f>1/W8/1.5</f>
        <v>0.13333333333333333</v>
      </c>
      <c r="Z8" s="21">
        <v>8</v>
      </c>
      <c r="AA8" s="21">
        <f>(V8-$C$4)/$C$2*100</f>
        <v>207.46038888888893</v>
      </c>
    </row>
    <row r="9" spans="1:27" x14ac:dyDescent="0.25">
      <c r="A9" s="20">
        <f t="shared" ref="A9:A72" si="3">60/(E9+1)+0.000001</f>
        <v>4.2857152857142857</v>
      </c>
      <c r="B9" s="20">
        <f t="shared" si="0"/>
        <v>4.615384615384615</v>
      </c>
      <c r="C9" s="21">
        <f t="shared" si="1"/>
        <v>4.615384615384615</v>
      </c>
      <c r="D9" s="21">
        <f t="shared" ref="D9:D72" si="4">1/B9</f>
        <v>0.21666666666666667</v>
      </c>
      <c r="E9" s="21">
        <v>13</v>
      </c>
      <c r="F9" s="21">
        <f t="shared" ref="F9:F72" si="5">(A9-$C$4)/$C$2*100</f>
        <v>196.12252040816327</v>
      </c>
      <c r="G9" s="21"/>
      <c r="H9" s="20">
        <f t="shared" ref="H9:H62" si="6">60/(L9+1)/2+0.000001</f>
        <v>3.7500010000000001</v>
      </c>
      <c r="I9" s="20">
        <f t="shared" ref="I9:I62" si="7">60/L9/2</f>
        <v>4.2857142857142856</v>
      </c>
      <c r="J9" s="21">
        <f t="shared" ref="J9:J62" si="8">1/K9</f>
        <v>8.5714285714285712</v>
      </c>
      <c r="K9" s="21">
        <f t="shared" si="2"/>
        <v>0.11666666666666667</v>
      </c>
      <c r="L9" s="21">
        <v>7</v>
      </c>
      <c r="M9" s="21">
        <f t="shared" ref="M9:M62" si="9">(H9-$C$4)/$C$2*100</f>
        <v>157.85721428571432</v>
      </c>
      <c r="N9" s="21"/>
      <c r="O9" s="20">
        <f t="shared" ref="O9:O44" si="10">60/(S9+1)/3+0.000001</f>
        <v>3.3333343333333336</v>
      </c>
      <c r="P9" s="20">
        <f t="shared" ref="P9:P44" si="11">60/S9/3</f>
        <v>4</v>
      </c>
      <c r="Q9" s="21">
        <f t="shared" ref="Q9:Q44" si="12">1/R9</f>
        <v>12</v>
      </c>
      <c r="R9" s="21">
        <f t="shared" ref="R9:R44" si="13">1/P9/3</f>
        <v>8.3333333333333329E-2</v>
      </c>
      <c r="S9" s="21">
        <v>5</v>
      </c>
      <c r="T9" s="21">
        <f t="shared" ref="T9:T44" si="14">(O9-$C$4)/$C$2*100</f>
        <v>128.09530952380953</v>
      </c>
      <c r="V9" s="20">
        <f t="shared" ref="V9:V72" si="15">60/(Z9+1)/1.5+0.000001</f>
        <v>4.0000010000000001</v>
      </c>
      <c r="W9" s="20">
        <f t="shared" ref="W9:W72" si="16">60/Z9/1.5</f>
        <v>4.4444444444444446</v>
      </c>
      <c r="X9" s="21">
        <f t="shared" ref="X9:X72" si="17">1/Y9</f>
        <v>6.666666666666667</v>
      </c>
      <c r="Y9" s="21">
        <f t="shared" ref="Y9:Y72" si="18">1/W9/1.5</f>
        <v>0.15</v>
      </c>
      <c r="Z9" s="21">
        <v>9</v>
      </c>
      <c r="AA9" s="21">
        <f t="shared" ref="AA9:AA72" si="19">(V9-$C$4)/$C$2*100</f>
        <v>175.71435714285718</v>
      </c>
    </row>
    <row r="10" spans="1:27" x14ac:dyDescent="0.25">
      <c r="A10" s="20">
        <f t="shared" si="3"/>
        <v>4.0000010000000001</v>
      </c>
      <c r="B10" s="20">
        <f t="shared" si="0"/>
        <v>4.2857142857142856</v>
      </c>
      <c r="C10" s="21">
        <f t="shared" si="1"/>
        <v>4.2857142857142856</v>
      </c>
      <c r="D10" s="21">
        <f t="shared" si="4"/>
        <v>0.23333333333333334</v>
      </c>
      <c r="E10" s="21">
        <v>14</v>
      </c>
      <c r="F10" s="21">
        <f t="shared" si="5"/>
        <v>175.71435714285718</v>
      </c>
      <c r="G10" s="21"/>
      <c r="H10" s="20">
        <f t="shared" si="6"/>
        <v>3.3333343333333336</v>
      </c>
      <c r="I10" s="20">
        <f t="shared" si="7"/>
        <v>3.75</v>
      </c>
      <c r="J10" s="21">
        <f t="shared" si="8"/>
        <v>7.5</v>
      </c>
      <c r="K10" s="21">
        <f t="shared" si="2"/>
        <v>0.13333333333333333</v>
      </c>
      <c r="L10" s="21">
        <v>8</v>
      </c>
      <c r="M10" s="21">
        <f t="shared" si="9"/>
        <v>128.09530952380953</v>
      </c>
      <c r="N10" s="21"/>
      <c r="O10" s="20">
        <f t="shared" si="10"/>
        <v>2.8571438571428573</v>
      </c>
      <c r="P10" s="20">
        <f t="shared" si="11"/>
        <v>3.3333333333333335</v>
      </c>
      <c r="Q10" s="21">
        <f t="shared" si="12"/>
        <v>10</v>
      </c>
      <c r="R10" s="21">
        <f t="shared" si="13"/>
        <v>9.9999999999999992E-2</v>
      </c>
      <c r="S10" s="21">
        <v>6</v>
      </c>
      <c r="T10" s="21">
        <f t="shared" si="14"/>
        <v>94.081704081632665</v>
      </c>
      <c r="V10" s="20">
        <f t="shared" si="15"/>
        <v>3.6363646363636364</v>
      </c>
      <c r="W10" s="20">
        <f t="shared" si="16"/>
        <v>4</v>
      </c>
      <c r="X10" s="21">
        <f t="shared" si="17"/>
        <v>6</v>
      </c>
      <c r="Y10" s="21">
        <f t="shared" si="18"/>
        <v>0.16666666666666666</v>
      </c>
      <c r="Z10" s="21">
        <v>10</v>
      </c>
      <c r="AA10" s="21">
        <f t="shared" si="19"/>
        <v>149.74033116883118</v>
      </c>
    </row>
    <row r="11" spans="1:27" x14ac:dyDescent="0.25">
      <c r="A11" s="20">
        <f t="shared" si="3"/>
        <v>3.7500010000000001</v>
      </c>
      <c r="B11" s="20">
        <f t="shared" si="0"/>
        <v>4</v>
      </c>
      <c r="C11" s="21">
        <f t="shared" si="1"/>
        <v>4</v>
      </c>
      <c r="D11" s="21">
        <f t="shared" si="4"/>
        <v>0.25</v>
      </c>
      <c r="E11" s="21">
        <v>15</v>
      </c>
      <c r="F11" s="21">
        <f t="shared" si="5"/>
        <v>157.85721428571432</v>
      </c>
      <c r="G11" s="21"/>
      <c r="H11" s="20">
        <f t="shared" si="6"/>
        <v>3.0000010000000001</v>
      </c>
      <c r="I11" s="20">
        <f t="shared" si="7"/>
        <v>3.3333333333333335</v>
      </c>
      <c r="J11" s="21">
        <f t="shared" si="8"/>
        <v>6.666666666666667</v>
      </c>
      <c r="K11" s="21">
        <f t="shared" si="2"/>
        <v>0.15</v>
      </c>
      <c r="L11" s="21">
        <v>9</v>
      </c>
      <c r="M11" s="21">
        <f t="shared" si="9"/>
        <v>104.28578571428572</v>
      </c>
      <c r="N11" s="21"/>
      <c r="O11" s="20">
        <f t="shared" si="10"/>
        <v>2.5000010000000001</v>
      </c>
      <c r="P11" s="20">
        <f t="shared" si="11"/>
        <v>2.8571428571428572</v>
      </c>
      <c r="Q11" s="21">
        <f t="shared" si="12"/>
        <v>8.571428571428573</v>
      </c>
      <c r="R11" s="21">
        <f t="shared" si="13"/>
        <v>0.11666666666666665</v>
      </c>
      <c r="S11" s="21">
        <v>7</v>
      </c>
      <c r="T11" s="21">
        <f t="shared" si="14"/>
        <v>68.571500000000015</v>
      </c>
      <c r="V11" s="20">
        <f t="shared" si="15"/>
        <v>3.3333343333333336</v>
      </c>
      <c r="W11" s="20">
        <f t="shared" si="16"/>
        <v>3.6363636363636362</v>
      </c>
      <c r="X11" s="21">
        <f t="shared" si="17"/>
        <v>5.4545454545454541</v>
      </c>
      <c r="Y11" s="21">
        <f t="shared" si="18"/>
        <v>0.18333333333333335</v>
      </c>
      <c r="Z11" s="21">
        <v>11</v>
      </c>
      <c r="AA11" s="21">
        <f t="shared" si="19"/>
        <v>128.09530952380953</v>
      </c>
    </row>
    <row r="12" spans="1:27" x14ac:dyDescent="0.25">
      <c r="A12" s="20">
        <f t="shared" si="3"/>
        <v>3.5294127647058824</v>
      </c>
      <c r="B12" s="20">
        <f t="shared" si="0"/>
        <v>3.75</v>
      </c>
      <c r="C12" s="21">
        <f t="shared" si="1"/>
        <v>3.75</v>
      </c>
      <c r="D12" s="21">
        <f t="shared" si="4"/>
        <v>0.26666666666666666</v>
      </c>
      <c r="E12" s="21">
        <v>16</v>
      </c>
      <c r="F12" s="21">
        <f t="shared" si="5"/>
        <v>142.1009117647059</v>
      </c>
      <c r="G12" s="21"/>
      <c r="H12" s="20">
        <f t="shared" si="6"/>
        <v>2.7272737272727272</v>
      </c>
      <c r="I12" s="20">
        <f t="shared" si="7"/>
        <v>3</v>
      </c>
      <c r="J12" s="21">
        <f t="shared" si="8"/>
        <v>6</v>
      </c>
      <c r="K12" s="21">
        <f t="shared" si="2"/>
        <v>0.16666666666666666</v>
      </c>
      <c r="L12" s="21">
        <v>10</v>
      </c>
      <c r="M12" s="21">
        <f t="shared" si="9"/>
        <v>84.805266233766233</v>
      </c>
      <c r="N12" s="21"/>
      <c r="O12" s="20">
        <f t="shared" si="10"/>
        <v>2.2222232222222225</v>
      </c>
      <c r="P12" s="20">
        <f t="shared" si="11"/>
        <v>2.5</v>
      </c>
      <c r="Q12" s="21">
        <f t="shared" si="12"/>
        <v>7.5</v>
      </c>
      <c r="R12" s="21">
        <f t="shared" si="13"/>
        <v>0.13333333333333333</v>
      </c>
      <c r="S12" s="21">
        <v>8</v>
      </c>
      <c r="T12" s="21">
        <f t="shared" si="14"/>
        <v>48.730230158730173</v>
      </c>
      <c r="V12" s="20">
        <f t="shared" si="15"/>
        <v>3.0769240769230768</v>
      </c>
      <c r="W12" s="20">
        <f t="shared" si="16"/>
        <v>3.3333333333333335</v>
      </c>
      <c r="X12" s="21">
        <f t="shared" si="17"/>
        <v>5</v>
      </c>
      <c r="Y12" s="21">
        <f t="shared" si="18"/>
        <v>0.19999999999999998</v>
      </c>
      <c r="Z12" s="21">
        <v>12</v>
      </c>
      <c r="AA12" s="21">
        <f t="shared" si="19"/>
        <v>109.7802912087912</v>
      </c>
    </row>
    <row r="13" spans="1:27" x14ac:dyDescent="0.25">
      <c r="A13" s="20">
        <f t="shared" si="3"/>
        <v>3.3333343333333336</v>
      </c>
      <c r="B13" s="20">
        <f t="shared" si="0"/>
        <v>3.5294117647058822</v>
      </c>
      <c r="C13" s="21">
        <f t="shared" si="1"/>
        <v>3.5294117647058822</v>
      </c>
      <c r="D13" s="21">
        <f t="shared" si="4"/>
        <v>0.28333333333333333</v>
      </c>
      <c r="E13" s="21">
        <v>17</v>
      </c>
      <c r="F13" s="21">
        <f t="shared" si="5"/>
        <v>128.09530952380953</v>
      </c>
      <c r="G13" s="21"/>
      <c r="H13" s="20">
        <f t="shared" si="6"/>
        <v>2.5000010000000001</v>
      </c>
      <c r="I13" s="20">
        <f t="shared" si="7"/>
        <v>2.7272727272727271</v>
      </c>
      <c r="J13" s="21">
        <f t="shared" si="8"/>
        <v>5.4545454545454541</v>
      </c>
      <c r="K13" s="21">
        <f t="shared" si="2"/>
        <v>0.18333333333333335</v>
      </c>
      <c r="L13" s="21">
        <v>11</v>
      </c>
      <c r="M13" s="21">
        <f t="shared" si="9"/>
        <v>68.571500000000015</v>
      </c>
      <c r="N13" s="21"/>
      <c r="O13" s="20">
        <f t="shared" si="10"/>
        <v>2.0000010000000001</v>
      </c>
      <c r="P13" s="20">
        <f t="shared" si="11"/>
        <v>2.2222222222222223</v>
      </c>
      <c r="Q13" s="21">
        <f t="shared" si="12"/>
        <v>6.666666666666667</v>
      </c>
      <c r="R13" s="21">
        <f t="shared" si="13"/>
        <v>0.15</v>
      </c>
      <c r="S13" s="21">
        <v>9</v>
      </c>
      <c r="T13" s="21">
        <f t="shared" si="14"/>
        <v>32.857214285714299</v>
      </c>
      <c r="V13" s="20">
        <f t="shared" si="15"/>
        <v>2.8571438571428573</v>
      </c>
      <c r="W13" s="20">
        <f t="shared" si="16"/>
        <v>3.0769230769230766</v>
      </c>
      <c r="X13" s="21">
        <f t="shared" si="17"/>
        <v>4.615384615384615</v>
      </c>
      <c r="Y13" s="21">
        <f t="shared" si="18"/>
        <v>0.21666666666666667</v>
      </c>
      <c r="Z13" s="21">
        <v>13</v>
      </c>
      <c r="AA13" s="21">
        <f t="shared" si="19"/>
        <v>94.081704081632665</v>
      </c>
    </row>
    <row r="14" spans="1:27" x14ac:dyDescent="0.25">
      <c r="A14" s="20">
        <f t="shared" si="3"/>
        <v>3.1578957368421054</v>
      </c>
      <c r="B14" s="20">
        <f t="shared" si="0"/>
        <v>3.3333333333333335</v>
      </c>
      <c r="C14" s="21">
        <f t="shared" si="1"/>
        <v>3.3333333333333335</v>
      </c>
      <c r="D14" s="21">
        <f t="shared" si="4"/>
        <v>0.3</v>
      </c>
      <c r="E14" s="21">
        <v>18</v>
      </c>
      <c r="F14" s="21">
        <f t="shared" si="5"/>
        <v>115.56398120300753</v>
      </c>
      <c r="G14" s="21"/>
      <c r="H14" s="20">
        <f t="shared" si="6"/>
        <v>2.3076933076923076</v>
      </c>
      <c r="I14" s="20">
        <f t="shared" si="7"/>
        <v>2.5</v>
      </c>
      <c r="J14" s="21">
        <f t="shared" si="8"/>
        <v>5</v>
      </c>
      <c r="K14" s="21">
        <f t="shared" si="2"/>
        <v>0.2</v>
      </c>
      <c r="L14" s="21">
        <v>12</v>
      </c>
      <c r="M14" s="21">
        <f t="shared" si="9"/>
        <v>54.835236263736263</v>
      </c>
      <c r="N14" s="21"/>
      <c r="O14" s="20">
        <f t="shared" si="10"/>
        <v>1.818182818181818</v>
      </c>
      <c r="P14" s="20">
        <f t="shared" si="11"/>
        <v>2</v>
      </c>
      <c r="Q14" s="21">
        <f t="shared" si="12"/>
        <v>6</v>
      </c>
      <c r="R14" s="21">
        <f t="shared" si="13"/>
        <v>0.16666666666666666</v>
      </c>
      <c r="S14" s="21">
        <v>10</v>
      </c>
      <c r="T14" s="21">
        <f t="shared" si="14"/>
        <v>19.870201298701286</v>
      </c>
      <c r="V14" s="20">
        <f t="shared" si="15"/>
        <v>2.6666676666666667</v>
      </c>
      <c r="W14" s="20">
        <f t="shared" si="16"/>
        <v>2.8571428571428572</v>
      </c>
      <c r="X14" s="21">
        <f t="shared" si="17"/>
        <v>4.2857142857142865</v>
      </c>
      <c r="Y14" s="21">
        <f t="shared" si="18"/>
        <v>0.23333333333333331</v>
      </c>
      <c r="Z14" s="21">
        <v>14</v>
      </c>
      <c r="AA14" s="21">
        <f t="shared" si="19"/>
        <v>80.476261904761898</v>
      </c>
    </row>
    <row r="15" spans="1:27" x14ac:dyDescent="0.25">
      <c r="A15" s="20">
        <f t="shared" si="3"/>
        <v>3.0000010000000001</v>
      </c>
      <c r="B15" s="20">
        <f t="shared" si="0"/>
        <v>3.1578947368421053</v>
      </c>
      <c r="C15" s="21">
        <f t="shared" si="1"/>
        <v>3.1578947368421053</v>
      </c>
      <c r="D15" s="21">
        <f t="shared" si="4"/>
        <v>0.31666666666666665</v>
      </c>
      <c r="E15" s="21">
        <v>19</v>
      </c>
      <c r="F15" s="21">
        <f t="shared" si="5"/>
        <v>104.28578571428572</v>
      </c>
      <c r="G15" s="21"/>
      <c r="H15" s="20">
        <f t="shared" si="6"/>
        <v>2.1428581428571429</v>
      </c>
      <c r="I15" s="20">
        <f t="shared" si="7"/>
        <v>2.3076923076923075</v>
      </c>
      <c r="J15" s="21">
        <f t="shared" si="8"/>
        <v>4.615384615384615</v>
      </c>
      <c r="K15" s="21">
        <f t="shared" si="2"/>
        <v>0.21666666666666667</v>
      </c>
      <c r="L15" s="21">
        <v>13</v>
      </c>
      <c r="M15" s="21">
        <f t="shared" si="9"/>
        <v>43.061295918367357</v>
      </c>
      <c r="N15" s="21"/>
      <c r="O15" s="20">
        <f t="shared" si="10"/>
        <v>1.6666676666666667</v>
      </c>
      <c r="P15" s="20">
        <f t="shared" si="11"/>
        <v>1.8181818181818181</v>
      </c>
      <c r="Q15" s="21">
        <f t="shared" si="12"/>
        <v>5.4545454545454541</v>
      </c>
      <c r="R15" s="21">
        <f t="shared" si="13"/>
        <v>0.18333333333333335</v>
      </c>
      <c r="S15" s="21">
        <v>11</v>
      </c>
      <c r="T15" s="21">
        <f t="shared" si="14"/>
        <v>9.0476904761904731</v>
      </c>
      <c r="V15" s="20">
        <f t="shared" si="15"/>
        <v>2.5000010000000001</v>
      </c>
      <c r="W15" s="20">
        <f t="shared" si="16"/>
        <v>2.6666666666666665</v>
      </c>
      <c r="X15" s="21">
        <f t="shared" si="17"/>
        <v>4</v>
      </c>
      <c r="Y15" s="21">
        <f t="shared" si="18"/>
        <v>0.25</v>
      </c>
      <c r="Z15" s="21">
        <v>15</v>
      </c>
      <c r="AA15" s="21">
        <f t="shared" si="19"/>
        <v>68.571500000000015</v>
      </c>
    </row>
    <row r="16" spans="1:27" x14ac:dyDescent="0.25">
      <c r="A16" s="20">
        <f t="shared" si="3"/>
        <v>2.8571438571428573</v>
      </c>
      <c r="B16" s="20">
        <f t="shared" si="0"/>
        <v>3</v>
      </c>
      <c r="C16" s="21">
        <f t="shared" si="1"/>
        <v>3</v>
      </c>
      <c r="D16" s="21">
        <f t="shared" si="4"/>
        <v>0.33333333333333331</v>
      </c>
      <c r="E16" s="21">
        <v>20</v>
      </c>
      <c r="F16" s="21">
        <f t="shared" si="5"/>
        <v>94.081704081632665</v>
      </c>
      <c r="G16" s="21"/>
      <c r="H16" s="20">
        <f t="shared" si="6"/>
        <v>2.0000010000000001</v>
      </c>
      <c r="I16" s="20">
        <f t="shared" si="7"/>
        <v>2.1428571428571428</v>
      </c>
      <c r="J16" s="21">
        <f t="shared" si="8"/>
        <v>4.2857142857142856</v>
      </c>
      <c r="K16" s="21">
        <f t="shared" si="2"/>
        <v>0.23333333333333334</v>
      </c>
      <c r="L16" s="21">
        <v>14</v>
      </c>
      <c r="M16" s="21">
        <f t="shared" si="9"/>
        <v>32.857214285714299</v>
      </c>
      <c r="N16" s="21"/>
      <c r="O16" s="20">
        <f t="shared" si="10"/>
        <v>1.5384625384615382</v>
      </c>
      <c r="P16" s="20">
        <f t="shared" si="11"/>
        <v>1.6666666666666667</v>
      </c>
      <c r="Q16" s="21">
        <f t="shared" si="12"/>
        <v>5</v>
      </c>
      <c r="R16" s="21">
        <f t="shared" si="13"/>
        <v>0.19999999999999998</v>
      </c>
      <c r="S16" s="21">
        <v>12</v>
      </c>
      <c r="T16" s="21">
        <f t="shared" si="14"/>
        <v>-0.10981868131869951</v>
      </c>
      <c r="V16" s="20">
        <f t="shared" si="15"/>
        <v>2.3529421764705885</v>
      </c>
      <c r="W16" s="20">
        <f t="shared" si="16"/>
        <v>2.5</v>
      </c>
      <c r="X16" s="21">
        <f t="shared" si="17"/>
        <v>3.75</v>
      </c>
      <c r="Y16" s="21">
        <f t="shared" si="18"/>
        <v>0.26666666666666666</v>
      </c>
      <c r="Z16" s="21">
        <v>16</v>
      </c>
      <c r="AA16" s="21">
        <f t="shared" si="19"/>
        <v>58.06729831932774</v>
      </c>
    </row>
    <row r="17" spans="1:27" x14ac:dyDescent="0.25">
      <c r="A17" s="20">
        <f t="shared" si="3"/>
        <v>2.7272737272727272</v>
      </c>
      <c r="B17" s="20">
        <f t="shared" si="0"/>
        <v>2.8571428571428572</v>
      </c>
      <c r="C17" s="21">
        <f t="shared" si="1"/>
        <v>2.8571428571428572</v>
      </c>
      <c r="D17" s="21">
        <f t="shared" si="4"/>
        <v>0.35</v>
      </c>
      <c r="E17" s="21">
        <v>21</v>
      </c>
      <c r="F17" s="21">
        <f t="shared" si="5"/>
        <v>84.805266233766233</v>
      </c>
      <c r="G17" s="21"/>
      <c r="H17" s="20">
        <f t="shared" si="6"/>
        <v>1.8750009999999999</v>
      </c>
      <c r="I17" s="20">
        <f t="shared" si="7"/>
        <v>2</v>
      </c>
      <c r="J17" s="21">
        <f t="shared" si="8"/>
        <v>4</v>
      </c>
      <c r="K17" s="21">
        <f t="shared" si="2"/>
        <v>0.25</v>
      </c>
      <c r="L17" s="21">
        <v>15</v>
      </c>
      <c r="M17" s="21">
        <f t="shared" si="9"/>
        <v>23.928642857142851</v>
      </c>
      <c r="N17" s="21"/>
      <c r="O17" s="20">
        <f t="shared" si="10"/>
        <v>1.4285724285714285</v>
      </c>
      <c r="P17" s="20">
        <f t="shared" si="11"/>
        <v>1.5384615384615383</v>
      </c>
      <c r="Q17" s="21">
        <f t="shared" si="12"/>
        <v>4.615384615384615</v>
      </c>
      <c r="R17" s="21">
        <f t="shared" si="13"/>
        <v>0.21666666666666667</v>
      </c>
      <c r="S17" s="21">
        <v>13</v>
      </c>
      <c r="T17" s="21">
        <f t="shared" si="14"/>
        <v>-7.9591122448979661</v>
      </c>
      <c r="V17" s="20">
        <f t="shared" si="15"/>
        <v>2.2222232222222225</v>
      </c>
      <c r="W17" s="20">
        <f t="shared" si="16"/>
        <v>2.3529411764705883</v>
      </c>
      <c r="X17" s="21">
        <f t="shared" si="17"/>
        <v>3.5294117647058822</v>
      </c>
      <c r="Y17" s="21">
        <f t="shared" si="18"/>
        <v>0.28333333333333333</v>
      </c>
      <c r="Z17" s="21">
        <v>17</v>
      </c>
      <c r="AA17" s="21">
        <f t="shared" si="19"/>
        <v>48.730230158730173</v>
      </c>
    </row>
    <row r="18" spans="1:27" x14ac:dyDescent="0.25">
      <c r="A18" s="20">
        <f t="shared" si="3"/>
        <v>2.6086966521739132</v>
      </c>
      <c r="B18" s="20">
        <f t="shared" si="0"/>
        <v>2.7272727272727271</v>
      </c>
      <c r="C18" s="21">
        <f t="shared" si="1"/>
        <v>2.7272727272727271</v>
      </c>
      <c r="D18" s="21">
        <f t="shared" si="4"/>
        <v>0.3666666666666667</v>
      </c>
      <c r="E18" s="21">
        <v>22</v>
      </c>
      <c r="F18" s="21">
        <f t="shared" si="5"/>
        <v>76.335475155279525</v>
      </c>
      <c r="G18" s="21"/>
      <c r="H18" s="20">
        <f t="shared" si="6"/>
        <v>1.764706882352941</v>
      </c>
      <c r="I18" s="20">
        <f t="shared" si="7"/>
        <v>1.875</v>
      </c>
      <c r="J18" s="21">
        <f t="shared" si="8"/>
        <v>3.75</v>
      </c>
      <c r="K18" s="21">
        <f t="shared" si="2"/>
        <v>0.26666666666666666</v>
      </c>
      <c r="L18" s="21">
        <v>16</v>
      </c>
      <c r="M18" s="21">
        <f t="shared" si="9"/>
        <v>16.050491596638643</v>
      </c>
      <c r="N18" s="21"/>
      <c r="O18" s="20">
        <f t="shared" si="10"/>
        <v>1.3333343333333332</v>
      </c>
      <c r="P18" s="20">
        <f t="shared" si="11"/>
        <v>1.4285714285714286</v>
      </c>
      <c r="Q18" s="21">
        <f t="shared" si="12"/>
        <v>4.2857142857142865</v>
      </c>
      <c r="R18" s="21">
        <f t="shared" si="13"/>
        <v>0.23333333333333331</v>
      </c>
      <c r="S18" s="21">
        <v>14</v>
      </c>
      <c r="T18" s="21">
        <f t="shared" si="14"/>
        <v>-14.76183333333335</v>
      </c>
      <c r="V18" s="20">
        <f t="shared" si="15"/>
        <v>2.1052641578947369</v>
      </c>
      <c r="W18" s="20">
        <f t="shared" si="16"/>
        <v>2.2222222222222223</v>
      </c>
      <c r="X18" s="21">
        <f t="shared" si="17"/>
        <v>3.3333333333333335</v>
      </c>
      <c r="Y18" s="21">
        <f t="shared" si="18"/>
        <v>0.3</v>
      </c>
      <c r="Z18" s="21">
        <v>18</v>
      </c>
      <c r="AA18" s="21">
        <f t="shared" si="19"/>
        <v>40.376011278195492</v>
      </c>
    </row>
    <row r="19" spans="1:27" x14ac:dyDescent="0.25">
      <c r="A19" s="20">
        <f t="shared" si="3"/>
        <v>2.5000010000000001</v>
      </c>
      <c r="B19" s="20">
        <f t="shared" si="0"/>
        <v>2.6086956521739131</v>
      </c>
      <c r="C19" s="21">
        <f t="shared" si="1"/>
        <v>2.6086956521739131</v>
      </c>
      <c r="D19" s="21">
        <f t="shared" si="4"/>
        <v>0.3833333333333333</v>
      </c>
      <c r="E19" s="21">
        <v>23</v>
      </c>
      <c r="F19" s="21">
        <f t="shared" si="5"/>
        <v>68.571500000000015</v>
      </c>
      <c r="G19" s="21"/>
      <c r="H19" s="20">
        <f t="shared" si="6"/>
        <v>1.6666676666666667</v>
      </c>
      <c r="I19" s="20">
        <f t="shared" si="7"/>
        <v>1.7647058823529411</v>
      </c>
      <c r="J19" s="21">
        <f t="shared" si="8"/>
        <v>3.5294117647058822</v>
      </c>
      <c r="K19" s="21">
        <f t="shared" si="2"/>
        <v>0.28333333333333333</v>
      </c>
      <c r="L19" s="21">
        <v>17</v>
      </c>
      <c r="M19" s="21">
        <f t="shared" si="9"/>
        <v>9.0476904761904731</v>
      </c>
      <c r="N19" s="21"/>
      <c r="O19" s="20">
        <f t="shared" si="10"/>
        <v>1.2500009999999999</v>
      </c>
      <c r="P19" s="20">
        <f t="shared" si="11"/>
        <v>1.3333333333333333</v>
      </c>
      <c r="Q19" s="21">
        <f t="shared" si="12"/>
        <v>4</v>
      </c>
      <c r="R19" s="21">
        <f t="shared" si="13"/>
        <v>0.25</v>
      </c>
      <c r="S19" s="21">
        <v>15</v>
      </c>
      <c r="T19" s="21">
        <f t="shared" si="14"/>
        <v>-20.714214285714295</v>
      </c>
      <c r="V19" s="20">
        <f t="shared" si="15"/>
        <v>2.0000010000000001</v>
      </c>
      <c r="W19" s="20">
        <f t="shared" si="16"/>
        <v>2.1052631578947367</v>
      </c>
      <c r="X19" s="21">
        <f t="shared" si="17"/>
        <v>3.1578947368421049</v>
      </c>
      <c r="Y19" s="21">
        <f t="shared" si="18"/>
        <v>0.31666666666666671</v>
      </c>
      <c r="Z19" s="21">
        <v>19</v>
      </c>
      <c r="AA19" s="21">
        <f t="shared" si="19"/>
        <v>32.857214285714299</v>
      </c>
    </row>
    <row r="20" spans="1:27" x14ac:dyDescent="0.25">
      <c r="A20" s="20">
        <f t="shared" si="3"/>
        <v>2.4000010000000001</v>
      </c>
      <c r="B20" s="20">
        <f t="shared" si="0"/>
        <v>2.5</v>
      </c>
      <c r="C20" s="21">
        <f t="shared" si="1"/>
        <v>2.5</v>
      </c>
      <c r="D20" s="21">
        <f t="shared" si="4"/>
        <v>0.4</v>
      </c>
      <c r="E20" s="21">
        <v>24</v>
      </c>
      <c r="F20" s="21">
        <f t="shared" si="5"/>
        <v>61.428642857142854</v>
      </c>
      <c r="G20" s="21"/>
      <c r="H20" s="20">
        <f t="shared" si="6"/>
        <v>1.5789483684210526</v>
      </c>
      <c r="I20" s="20">
        <f t="shared" si="7"/>
        <v>1.6666666666666667</v>
      </c>
      <c r="J20" s="21">
        <f t="shared" si="8"/>
        <v>3.3333333333333335</v>
      </c>
      <c r="K20" s="21">
        <f t="shared" si="2"/>
        <v>0.3</v>
      </c>
      <c r="L20" s="21">
        <v>18</v>
      </c>
      <c r="M20" s="21">
        <f t="shared" si="9"/>
        <v>2.7820263157894671</v>
      </c>
      <c r="N20" s="21"/>
      <c r="O20" s="20">
        <f t="shared" si="10"/>
        <v>1.1764715882352941</v>
      </c>
      <c r="P20" s="20">
        <f t="shared" si="11"/>
        <v>1.25</v>
      </c>
      <c r="Q20" s="21">
        <f t="shared" si="12"/>
        <v>3.75</v>
      </c>
      <c r="R20" s="21">
        <f t="shared" si="13"/>
        <v>0.26666666666666666</v>
      </c>
      <c r="S20" s="21">
        <v>16</v>
      </c>
      <c r="T20" s="21">
        <f t="shared" si="14"/>
        <v>-25.966315126050425</v>
      </c>
      <c r="V20" s="20">
        <f t="shared" si="15"/>
        <v>1.9047629047619048</v>
      </c>
      <c r="W20" s="20">
        <f t="shared" si="16"/>
        <v>2</v>
      </c>
      <c r="X20" s="21">
        <f t="shared" si="17"/>
        <v>3</v>
      </c>
      <c r="Y20" s="21">
        <f t="shared" si="18"/>
        <v>0.33333333333333331</v>
      </c>
      <c r="Z20" s="21">
        <v>20</v>
      </c>
      <c r="AA20" s="21">
        <f t="shared" si="19"/>
        <v>26.054493197278912</v>
      </c>
    </row>
    <row r="21" spans="1:27" x14ac:dyDescent="0.25">
      <c r="A21" s="20">
        <f t="shared" si="3"/>
        <v>2.3076933076923076</v>
      </c>
      <c r="B21" s="20">
        <f t="shared" si="0"/>
        <v>2.4</v>
      </c>
      <c r="C21" s="21">
        <f t="shared" si="1"/>
        <v>2.4</v>
      </c>
      <c r="D21" s="21">
        <f t="shared" si="4"/>
        <v>0.41666666666666669</v>
      </c>
      <c r="E21" s="21">
        <v>25</v>
      </c>
      <c r="F21" s="21">
        <f t="shared" si="5"/>
        <v>54.835236263736263</v>
      </c>
      <c r="G21" s="21"/>
      <c r="H21" s="20">
        <f t="shared" si="6"/>
        <v>1.5000009999999999</v>
      </c>
      <c r="I21" s="20">
        <f t="shared" si="7"/>
        <v>1.5789473684210527</v>
      </c>
      <c r="J21" s="21">
        <f t="shared" si="8"/>
        <v>3.1578947368421053</v>
      </c>
      <c r="K21" s="21">
        <f t="shared" si="2"/>
        <v>0.31666666666666665</v>
      </c>
      <c r="L21" s="21">
        <v>19</v>
      </c>
      <c r="M21" s="21">
        <f t="shared" si="9"/>
        <v>-2.8570714285714374</v>
      </c>
      <c r="N21" s="21"/>
      <c r="O21" s="20">
        <f t="shared" si="10"/>
        <v>1.1111121111111111</v>
      </c>
      <c r="P21" s="20">
        <f t="shared" si="11"/>
        <v>1.1764705882352942</v>
      </c>
      <c r="Q21" s="21">
        <f t="shared" si="12"/>
        <v>3.5294117647058822</v>
      </c>
      <c r="R21" s="21">
        <f t="shared" si="13"/>
        <v>0.28333333333333333</v>
      </c>
      <c r="S21" s="21">
        <v>17</v>
      </c>
      <c r="T21" s="21">
        <f t="shared" si="14"/>
        <v>-30.634849206349212</v>
      </c>
      <c r="V21" s="20">
        <f t="shared" si="15"/>
        <v>1.818182818181818</v>
      </c>
      <c r="W21" s="20">
        <f t="shared" si="16"/>
        <v>1.9047619047619049</v>
      </c>
      <c r="X21" s="21">
        <f t="shared" si="17"/>
        <v>2.8571428571428568</v>
      </c>
      <c r="Y21" s="21">
        <f t="shared" si="18"/>
        <v>0.35000000000000003</v>
      </c>
      <c r="Z21" s="21">
        <v>21</v>
      </c>
      <c r="AA21" s="21">
        <f t="shared" si="19"/>
        <v>19.870201298701286</v>
      </c>
    </row>
    <row r="22" spans="1:27" x14ac:dyDescent="0.25">
      <c r="A22" s="20">
        <f t="shared" si="3"/>
        <v>2.2222232222222225</v>
      </c>
      <c r="B22" s="20">
        <f t="shared" si="0"/>
        <v>2.3076923076923075</v>
      </c>
      <c r="C22" s="21">
        <f t="shared" si="1"/>
        <v>2.3076923076923075</v>
      </c>
      <c r="D22" s="21">
        <f t="shared" si="4"/>
        <v>0.43333333333333335</v>
      </c>
      <c r="E22" s="21">
        <v>26</v>
      </c>
      <c r="F22" s="21">
        <f t="shared" si="5"/>
        <v>48.730230158730173</v>
      </c>
      <c r="G22" s="21"/>
      <c r="H22" s="20">
        <f t="shared" si="6"/>
        <v>1.4285724285714285</v>
      </c>
      <c r="I22" s="20">
        <f t="shared" si="7"/>
        <v>1.5</v>
      </c>
      <c r="J22" s="21">
        <f t="shared" si="8"/>
        <v>3</v>
      </c>
      <c r="K22" s="21">
        <f t="shared" si="2"/>
        <v>0.33333333333333331</v>
      </c>
      <c r="L22" s="21">
        <v>20</v>
      </c>
      <c r="M22" s="21">
        <f t="shared" si="9"/>
        <v>-7.9591122448979661</v>
      </c>
      <c r="N22" s="21"/>
      <c r="O22" s="20">
        <f t="shared" si="10"/>
        <v>1.0526325789473683</v>
      </c>
      <c r="P22" s="20">
        <f t="shared" si="11"/>
        <v>1.1111111111111112</v>
      </c>
      <c r="Q22" s="21">
        <f t="shared" si="12"/>
        <v>3.3333333333333335</v>
      </c>
      <c r="R22" s="21">
        <f t="shared" si="13"/>
        <v>0.3</v>
      </c>
      <c r="S22" s="21">
        <v>18</v>
      </c>
      <c r="T22" s="21">
        <f t="shared" si="14"/>
        <v>-34.81195864661656</v>
      </c>
      <c r="V22" s="20">
        <f t="shared" si="15"/>
        <v>1.7391314347826086</v>
      </c>
      <c r="W22" s="20">
        <f t="shared" si="16"/>
        <v>1.8181818181818181</v>
      </c>
      <c r="X22" s="21">
        <f t="shared" si="17"/>
        <v>2.7272727272727271</v>
      </c>
      <c r="Y22" s="21">
        <f t="shared" si="18"/>
        <v>0.3666666666666667</v>
      </c>
      <c r="Z22" s="21">
        <v>22</v>
      </c>
      <c r="AA22" s="21">
        <f t="shared" si="19"/>
        <v>14.223673913043466</v>
      </c>
    </row>
    <row r="23" spans="1:27" x14ac:dyDescent="0.25">
      <c r="A23" s="20">
        <f t="shared" si="3"/>
        <v>2.1428581428571429</v>
      </c>
      <c r="B23" s="20">
        <f t="shared" si="0"/>
        <v>2.2222222222222223</v>
      </c>
      <c r="C23" s="21">
        <f t="shared" si="1"/>
        <v>2.2222222222222223</v>
      </c>
      <c r="D23" s="21">
        <f t="shared" si="4"/>
        <v>0.44999999999999996</v>
      </c>
      <c r="E23" s="21">
        <v>27</v>
      </c>
      <c r="F23" s="21">
        <f t="shared" si="5"/>
        <v>43.061295918367357</v>
      </c>
      <c r="G23" s="21"/>
      <c r="H23" s="20">
        <f t="shared" si="6"/>
        <v>1.3636373636363635</v>
      </c>
      <c r="I23" s="20">
        <f t="shared" si="7"/>
        <v>1.4285714285714286</v>
      </c>
      <c r="J23" s="21">
        <f t="shared" si="8"/>
        <v>2.8571428571428572</v>
      </c>
      <c r="K23" s="21">
        <f t="shared" si="2"/>
        <v>0.35</v>
      </c>
      <c r="L23" s="21">
        <v>21</v>
      </c>
      <c r="M23" s="21">
        <f t="shared" si="9"/>
        <v>-12.597331168831186</v>
      </c>
      <c r="N23" s="21"/>
      <c r="O23" s="20">
        <f t="shared" si="10"/>
        <v>1.0000009999999999</v>
      </c>
      <c r="P23" s="20">
        <f t="shared" si="11"/>
        <v>1.0526315789473684</v>
      </c>
      <c r="Q23" s="21">
        <f t="shared" si="12"/>
        <v>3.1578947368421049</v>
      </c>
      <c r="R23" s="21">
        <f t="shared" si="13"/>
        <v>0.31666666666666671</v>
      </c>
      <c r="S23" s="21">
        <v>19</v>
      </c>
      <c r="T23" s="21">
        <f t="shared" si="14"/>
        <v>-38.571357142857153</v>
      </c>
      <c r="V23" s="20">
        <f t="shared" si="15"/>
        <v>1.6666676666666667</v>
      </c>
      <c r="W23" s="20">
        <f t="shared" si="16"/>
        <v>1.7391304347826086</v>
      </c>
      <c r="X23" s="21">
        <f t="shared" si="17"/>
        <v>2.6086956521739131</v>
      </c>
      <c r="Y23" s="21">
        <f t="shared" si="18"/>
        <v>0.38333333333333336</v>
      </c>
      <c r="Z23" s="21">
        <v>23</v>
      </c>
      <c r="AA23" s="21">
        <f t="shared" si="19"/>
        <v>9.0476904761904731</v>
      </c>
    </row>
    <row r="24" spans="1:27" x14ac:dyDescent="0.25">
      <c r="A24" s="20">
        <f t="shared" si="3"/>
        <v>2.0689665172413796</v>
      </c>
      <c r="B24" s="20">
        <f t="shared" si="0"/>
        <v>2.1428571428571428</v>
      </c>
      <c r="C24" s="21">
        <f t="shared" si="1"/>
        <v>2.1428571428571428</v>
      </c>
      <c r="D24" s="21">
        <f t="shared" si="4"/>
        <v>0.46666666666666667</v>
      </c>
      <c r="E24" s="21">
        <v>28</v>
      </c>
      <c r="F24" s="21">
        <f t="shared" si="5"/>
        <v>37.783322660098541</v>
      </c>
      <c r="G24" s="21"/>
      <c r="H24" s="20">
        <f t="shared" si="6"/>
        <v>1.3043488260869565</v>
      </c>
      <c r="I24" s="20">
        <f t="shared" si="7"/>
        <v>1.3636363636363635</v>
      </c>
      <c r="J24" s="21">
        <f t="shared" si="8"/>
        <v>2.7272727272727271</v>
      </c>
      <c r="K24" s="21">
        <f t="shared" si="2"/>
        <v>0.3666666666666667</v>
      </c>
      <c r="L24" s="21">
        <v>22</v>
      </c>
      <c r="M24" s="21">
        <f t="shared" si="9"/>
        <v>-16.832226708074543</v>
      </c>
      <c r="N24" s="21"/>
      <c r="O24" s="20">
        <f t="shared" si="10"/>
        <v>0.95238195238095247</v>
      </c>
      <c r="P24" s="20">
        <f t="shared" si="11"/>
        <v>1</v>
      </c>
      <c r="Q24" s="21">
        <f t="shared" si="12"/>
        <v>3</v>
      </c>
      <c r="R24" s="21">
        <f t="shared" si="13"/>
        <v>0.33333333333333331</v>
      </c>
      <c r="S24" s="21">
        <v>20</v>
      </c>
      <c r="T24" s="21">
        <f t="shared" si="14"/>
        <v>-41.972717687074827</v>
      </c>
      <c r="V24" s="20">
        <f t="shared" si="15"/>
        <v>1.6000009999999998</v>
      </c>
      <c r="W24" s="20">
        <f t="shared" si="16"/>
        <v>1.6666666666666667</v>
      </c>
      <c r="X24" s="21">
        <f t="shared" si="17"/>
        <v>2.5</v>
      </c>
      <c r="Y24" s="21">
        <f t="shared" si="18"/>
        <v>0.39999999999999997</v>
      </c>
      <c r="Z24" s="21">
        <v>24</v>
      </c>
      <c r="AA24" s="21">
        <f t="shared" si="19"/>
        <v>4.285785714285697</v>
      </c>
    </row>
    <row r="25" spans="1:27" x14ac:dyDescent="0.25">
      <c r="A25" s="20">
        <f t="shared" si="3"/>
        <v>2.0000010000000001</v>
      </c>
      <c r="B25" s="20">
        <f t="shared" si="0"/>
        <v>2.0689655172413794</v>
      </c>
      <c r="C25" s="21">
        <f t="shared" si="1"/>
        <v>2.0689655172413794</v>
      </c>
      <c r="D25" s="21">
        <f t="shared" si="4"/>
        <v>0.48333333333333328</v>
      </c>
      <c r="E25" s="21">
        <v>29</v>
      </c>
      <c r="F25" s="21">
        <f t="shared" si="5"/>
        <v>32.857214285714299</v>
      </c>
      <c r="G25" s="21"/>
      <c r="H25" s="20">
        <f t="shared" si="6"/>
        <v>1.2500009999999999</v>
      </c>
      <c r="I25" s="20">
        <f t="shared" si="7"/>
        <v>1.3043478260869565</v>
      </c>
      <c r="J25" s="21">
        <f t="shared" si="8"/>
        <v>2.6086956521739131</v>
      </c>
      <c r="K25" s="21">
        <f t="shared" si="2"/>
        <v>0.3833333333333333</v>
      </c>
      <c r="L25" s="21">
        <v>23</v>
      </c>
      <c r="M25" s="21">
        <f t="shared" si="9"/>
        <v>-20.714214285714295</v>
      </c>
      <c r="N25" s="21"/>
      <c r="O25" s="20">
        <f t="shared" si="10"/>
        <v>0.90909190909090909</v>
      </c>
      <c r="P25" s="20">
        <f t="shared" si="11"/>
        <v>0.95238095238095244</v>
      </c>
      <c r="Q25" s="21">
        <f t="shared" si="12"/>
        <v>2.8571428571428568</v>
      </c>
      <c r="R25" s="21">
        <f t="shared" si="13"/>
        <v>0.35000000000000003</v>
      </c>
      <c r="S25" s="21">
        <v>21</v>
      </c>
      <c r="T25" s="21">
        <f t="shared" si="14"/>
        <v>-45.064863636363647</v>
      </c>
      <c r="V25" s="20">
        <f t="shared" si="15"/>
        <v>1.5384625384615382</v>
      </c>
      <c r="W25" s="20">
        <f t="shared" si="16"/>
        <v>1.5999999999999999</v>
      </c>
      <c r="X25" s="21">
        <f t="shared" si="17"/>
        <v>2.4</v>
      </c>
      <c r="Y25" s="21">
        <f t="shared" si="18"/>
        <v>0.41666666666666669</v>
      </c>
      <c r="Z25" s="21">
        <v>25</v>
      </c>
      <c r="AA25" s="21">
        <f t="shared" si="19"/>
        <v>-0.10981868131869951</v>
      </c>
    </row>
    <row r="26" spans="1:27" x14ac:dyDescent="0.25">
      <c r="A26" s="20">
        <f t="shared" si="3"/>
        <v>1.9354848709677419</v>
      </c>
      <c r="B26" s="20">
        <f t="shared" si="0"/>
        <v>2</v>
      </c>
      <c r="C26" s="21">
        <f t="shared" si="1"/>
        <v>2</v>
      </c>
      <c r="D26" s="21">
        <f t="shared" si="4"/>
        <v>0.5</v>
      </c>
      <c r="E26" s="21">
        <v>30</v>
      </c>
      <c r="F26" s="21">
        <f t="shared" si="5"/>
        <v>28.248919354838709</v>
      </c>
      <c r="G26" s="21"/>
      <c r="H26" s="20">
        <f t="shared" si="6"/>
        <v>1.2000009999999999</v>
      </c>
      <c r="I26" s="20">
        <f t="shared" si="7"/>
        <v>1.25</v>
      </c>
      <c r="J26" s="21">
        <f t="shared" si="8"/>
        <v>2.5</v>
      </c>
      <c r="K26" s="21">
        <f t="shared" si="2"/>
        <v>0.4</v>
      </c>
      <c r="L26" s="21">
        <v>24</v>
      </c>
      <c r="M26" s="21">
        <f t="shared" si="9"/>
        <v>-24.285642857142868</v>
      </c>
      <c r="N26" s="21"/>
      <c r="O26" s="20">
        <f t="shared" si="10"/>
        <v>0.86956621739130435</v>
      </c>
      <c r="P26" s="20">
        <f t="shared" si="11"/>
        <v>0.90909090909090906</v>
      </c>
      <c r="Q26" s="21">
        <f t="shared" si="12"/>
        <v>2.7272727272727271</v>
      </c>
      <c r="R26" s="21">
        <f t="shared" si="13"/>
        <v>0.3666666666666667</v>
      </c>
      <c r="S26" s="21">
        <v>22</v>
      </c>
      <c r="T26" s="21">
        <f t="shared" si="14"/>
        <v>-47.888127329192557</v>
      </c>
      <c r="V26" s="20">
        <f t="shared" si="15"/>
        <v>1.4814824814814815</v>
      </c>
      <c r="W26" s="20">
        <f t="shared" si="16"/>
        <v>1.5384615384615383</v>
      </c>
      <c r="X26" s="21">
        <f t="shared" si="17"/>
        <v>2.3076923076923075</v>
      </c>
      <c r="Y26" s="21">
        <f t="shared" si="18"/>
        <v>0.43333333333333335</v>
      </c>
      <c r="Z26" s="21">
        <v>26</v>
      </c>
      <c r="AA26" s="21">
        <f t="shared" si="19"/>
        <v>-4.1798227513227504</v>
      </c>
    </row>
    <row r="27" spans="1:27" x14ac:dyDescent="0.25">
      <c r="A27" s="20">
        <f t="shared" si="3"/>
        <v>1.8750009999999999</v>
      </c>
      <c r="B27" s="20">
        <f t="shared" si="0"/>
        <v>1.935483870967742</v>
      </c>
      <c r="C27" s="21">
        <f t="shared" si="1"/>
        <v>1.9354838709677422</v>
      </c>
      <c r="D27" s="21">
        <f t="shared" si="4"/>
        <v>0.51666666666666661</v>
      </c>
      <c r="E27" s="21">
        <v>31</v>
      </c>
      <c r="F27" s="21">
        <f t="shared" si="5"/>
        <v>23.928642857142851</v>
      </c>
      <c r="G27" s="21"/>
      <c r="H27" s="20">
        <f t="shared" si="6"/>
        <v>1.1538471538461537</v>
      </c>
      <c r="I27" s="20">
        <f t="shared" si="7"/>
        <v>1.2</v>
      </c>
      <c r="J27" s="21">
        <f t="shared" si="8"/>
        <v>2.4</v>
      </c>
      <c r="K27" s="21">
        <f t="shared" si="2"/>
        <v>0.41666666666666669</v>
      </c>
      <c r="L27" s="21">
        <v>25</v>
      </c>
      <c r="M27" s="21">
        <f t="shared" si="9"/>
        <v>-27.582346153846171</v>
      </c>
      <c r="N27" s="21"/>
      <c r="O27" s="20">
        <f t="shared" si="10"/>
        <v>0.8333343333333334</v>
      </c>
      <c r="P27" s="20">
        <f t="shared" si="11"/>
        <v>0.86956521739130432</v>
      </c>
      <c r="Q27" s="21">
        <f t="shared" si="12"/>
        <v>2.6086956521739131</v>
      </c>
      <c r="R27" s="21">
        <f t="shared" si="13"/>
        <v>0.38333333333333336</v>
      </c>
      <c r="S27" s="21">
        <v>23</v>
      </c>
      <c r="T27" s="21">
        <f t="shared" si="14"/>
        <v>-50.476119047619051</v>
      </c>
      <c r="V27" s="20">
        <f t="shared" si="15"/>
        <v>1.4285724285714285</v>
      </c>
      <c r="W27" s="20">
        <f t="shared" si="16"/>
        <v>1.4814814814814816</v>
      </c>
      <c r="X27" s="21">
        <f t="shared" si="17"/>
        <v>2.2222222222222223</v>
      </c>
      <c r="Y27" s="21">
        <f t="shared" si="18"/>
        <v>0.44999999999999996</v>
      </c>
      <c r="Z27" s="21">
        <v>27</v>
      </c>
      <c r="AA27" s="21">
        <f t="shared" si="19"/>
        <v>-7.9591122448979661</v>
      </c>
    </row>
    <row r="28" spans="1:27" x14ac:dyDescent="0.25">
      <c r="A28" s="20">
        <f t="shared" si="3"/>
        <v>1.818182818181818</v>
      </c>
      <c r="B28" s="20">
        <f t="shared" si="0"/>
        <v>1.875</v>
      </c>
      <c r="C28" s="21">
        <f t="shared" si="1"/>
        <v>1.875</v>
      </c>
      <c r="D28" s="21">
        <f t="shared" si="4"/>
        <v>0.53333333333333333</v>
      </c>
      <c r="E28" s="21">
        <v>32</v>
      </c>
      <c r="F28" s="21">
        <f t="shared" si="5"/>
        <v>19.870201298701286</v>
      </c>
      <c r="G28" s="21"/>
      <c r="H28" s="20">
        <f t="shared" si="6"/>
        <v>1.1111121111111111</v>
      </c>
      <c r="I28" s="20">
        <f t="shared" si="7"/>
        <v>1.1538461538461537</v>
      </c>
      <c r="J28" s="21">
        <f t="shared" si="8"/>
        <v>2.3076923076923075</v>
      </c>
      <c r="K28" s="21">
        <f t="shared" si="2"/>
        <v>0.43333333333333335</v>
      </c>
      <c r="L28" s="21">
        <v>26</v>
      </c>
      <c r="M28" s="21">
        <f t="shared" si="9"/>
        <v>-30.634849206349212</v>
      </c>
      <c r="N28" s="21"/>
      <c r="O28" s="20">
        <f t="shared" si="10"/>
        <v>0.80000099999999996</v>
      </c>
      <c r="P28" s="20">
        <f t="shared" si="11"/>
        <v>0.83333333333333337</v>
      </c>
      <c r="Q28" s="21">
        <f t="shared" si="12"/>
        <v>2.5</v>
      </c>
      <c r="R28" s="21">
        <f t="shared" si="13"/>
        <v>0.39999999999999997</v>
      </c>
      <c r="S28" s="21">
        <v>24</v>
      </c>
      <c r="T28" s="21">
        <f t="shared" si="14"/>
        <v>-52.85707142857143</v>
      </c>
      <c r="V28" s="20">
        <f t="shared" si="15"/>
        <v>1.3793113448275862</v>
      </c>
      <c r="W28" s="20">
        <f t="shared" si="16"/>
        <v>1.4285714285714286</v>
      </c>
      <c r="X28" s="21">
        <f t="shared" si="17"/>
        <v>2.1428571428571432</v>
      </c>
      <c r="Y28" s="21">
        <f t="shared" si="18"/>
        <v>0.46666666666666662</v>
      </c>
      <c r="Z28" s="21">
        <v>28</v>
      </c>
      <c r="AA28" s="21">
        <f t="shared" si="19"/>
        <v>-11.477761083743845</v>
      </c>
    </row>
    <row r="29" spans="1:27" x14ac:dyDescent="0.25">
      <c r="A29" s="20">
        <f t="shared" si="3"/>
        <v>1.764706882352941</v>
      </c>
      <c r="B29" s="20">
        <f t="shared" si="0"/>
        <v>1.8181818181818181</v>
      </c>
      <c r="C29" s="21">
        <f t="shared" si="1"/>
        <v>1.8181818181818181</v>
      </c>
      <c r="D29" s="21">
        <f t="shared" si="4"/>
        <v>0.55000000000000004</v>
      </c>
      <c r="E29" s="21">
        <v>33</v>
      </c>
      <c r="F29" s="21">
        <f t="shared" si="5"/>
        <v>16.050491596638643</v>
      </c>
      <c r="G29" s="21"/>
      <c r="H29" s="20">
        <f t="shared" si="6"/>
        <v>1.0714295714285713</v>
      </c>
      <c r="I29" s="20">
        <f t="shared" si="7"/>
        <v>1.1111111111111112</v>
      </c>
      <c r="J29" s="21">
        <f t="shared" si="8"/>
        <v>2.2222222222222223</v>
      </c>
      <c r="K29" s="21">
        <f t="shared" si="2"/>
        <v>0.44999999999999996</v>
      </c>
      <c r="L29" s="21">
        <v>27</v>
      </c>
      <c r="M29" s="21">
        <f t="shared" si="9"/>
        <v>-33.469316326530624</v>
      </c>
      <c r="N29" s="21"/>
      <c r="O29" s="20">
        <f t="shared" si="10"/>
        <v>0.76923176923076919</v>
      </c>
      <c r="P29" s="20">
        <f t="shared" si="11"/>
        <v>0.79999999999999993</v>
      </c>
      <c r="Q29" s="21">
        <f t="shared" si="12"/>
        <v>2.4</v>
      </c>
      <c r="R29" s="21">
        <f t="shared" si="13"/>
        <v>0.41666666666666669</v>
      </c>
      <c r="S29" s="21">
        <v>25</v>
      </c>
      <c r="T29" s="21">
        <f t="shared" si="14"/>
        <v>-55.054873626373634</v>
      </c>
      <c r="V29" s="20">
        <f t="shared" si="15"/>
        <v>1.3333343333333332</v>
      </c>
      <c r="W29" s="20">
        <f t="shared" si="16"/>
        <v>1.3793103448275863</v>
      </c>
      <c r="X29" s="21">
        <f t="shared" si="17"/>
        <v>2.0689655172413794</v>
      </c>
      <c r="Y29" s="21">
        <f t="shared" si="18"/>
        <v>0.48333333333333334</v>
      </c>
      <c r="Z29" s="21">
        <v>29</v>
      </c>
      <c r="AA29" s="21">
        <f t="shared" si="19"/>
        <v>-14.76183333333335</v>
      </c>
    </row>
    <row r="30" spans="1:27" x14ac:dyDescent="0.25">
      <c r="A30" s="20">
        <f t="shared" si="3"/>
        <v>1.7142867142857141</v>
      </c>
      <c r="B30" s="20">
        <f t="shared" si="0"/>
        <v>1.7647058823529411</v>
      </c>
      <c r="C30" s="21">
        <f t="shared" si="1"/>
        <v>1.7647058823529411</v>
      </c>
      <c r="D30" s="21">
        <f t="shared" si="4"/>
        <v>0.56666666666666665</v>
      </c>
      <c r="E30" s="21">
        <v>34</v>
      </c>
      <c r="F30" s="21">
        <f t="shared" si="5"/>
        <v>12.449051020408149</v>
      </c>
      <c r="G30" s="21"/>
      <c r="H30" s="20">
        <f t="shared" si="6"/>
        <v>1.0344837586206896</v>
      </c>
      <c r="I30" s="20">
        <f t="shared" si="7"/>
        <v>1.0714285714285714</v>
      </c>
      <c r="J30" s="21">
        <f t="shared" si="8"/>
        <v>2.1428571428571428</v>
      </c>
      <c r="K30" s="21">
        <f t="shared" si="2"/>
        <v>0.46666666666666667</v>
      </c>
      <c r="L30" s="21">
        <v>28</v>
      </c>
      <c r="M30" s="21">
        <f t="shared" si="9"/>
        <v>-36.108302955665025</v>
      </c>
      <c r="N30" s="21"/>
      <c r="O30" s="20">
        <f t="shared" si="10"/>
        <v>0.74074174074074084</v>
      </c>
      <c r="P30" s="20">
        <f t="shared" si="11"/>
        <v>0.76923076923076916</v>
      </c>
      <c r="Q30" s="21">
        <f t="shared" si="12"/>
        <v>2.3076923076923075</v>
      </c>
      <c r="R30" s="21">
        <f t="shared" si="13"/>
        <v>0.43333333333333335</v>
      </c>
      <c r="S30" s="21">
        <v>26</v>
      </c>
      <c r="T30" s="21">
        <f t="shared" si="14"/>
        <v>-57.089875661375658</v>
      </c>
      <c r="V30" s="20">
        <f t="shared" si="15"/>
        <v>1.2903235806451612</v>
      </c>
      <c r="W30" s="20">
        <f t="shared" si="16"/>
        <v>1.3333333333333333</v>
      </c>
      <c r="X30" s="21">
        <f t="shared" si="17"/>
        <v>2</v>
      </c>
      <c r="Y30" s="21">
        <f t="shared" si="18"/>
        <v>0.5</v>
      </c>
      <c r="Z30" s="21">
        <v>30</v>
      </c>
      <c r="AA30" s="21">
        <f t="shared" si="19"/>
        <v>-17.834029953917064</v>
      </c>
    </row>
    <row r="31" spans="1:27" x14ac:dyDescent="0.25">
      <c r="A31" s="20">
        <f t="shared" si="3"/>
        <v>1.6666676666666667</v>
      </c>
      <c r="B31" s="20">
        <f t="shared" si="0"/>
        <v>1.7142857142857142</v>
      </c>
      <c r="C31" s="21">
        <f t="shared" si="1"/>
        <v>1.7142857142857142</v>
      </c>
      <c r="D31" s="21">
        <f t="shared" si="4"/>
        <v>0.58333333333333337</v>
      </c>
      <c r="E31" s="21">
        <v>35</v>
      </c>
      <c r="F31" s="21">
        <f t="shared" si="5"/>
        <v>9.0476904761904731</v>
      </c>
      <c r="G31" s="21"/>
      <c r="H31" s="20">
        <f t="shared" si="6"/>
        <v>1.0000009999999999</v>
      </c>
      <c r="I31" s="20">
        <f t="shared" si="7"/>
        <v>1.0344827586206897</v>
      </c>
      <c r="J31" s="21">
        <f t="shared" si="8"/>
        <v>2.0689655172413794</v>
      </c>
      <c r="K31" s="21">
        <f t="shared" si="2"/>
        <v>0.48333333333333328</v>
      </c>
      <c r="L31" s="21">
        <v>29</v>
      </c>
      <c r="M31" s="21">
        <f t="shared" si="9"/>
        <v>-38.571357142857153</v>
      </c>
      <c r="N31" s="21"/>
      <c r="O31" s="20">
        <f t="shared" si="10"/>
        <v>0.71428671428571433</v>
      </c>
      <c r="P31" s="20">
        <f t="shared" si="11"/>
        <v>0.74074074074074081</v>
      </c>
      <c r="Q31" s="21">
        <f t="shared" si="12"/>
        <v>2.2222222222222223</v>
      </c>
      <c r="R31" s="21">
        <f t="shared" si="13"/>
        <v>0.44999999999999996</v>
      </c>
      <c r="S31" s="21">
        <v>27</v>
      </c>
      <c r="T31" s="21">
        <f t="shared" si="14"/>
        <v>-58.979520408163268</v>
      </c>
      <c r="V31" s="20">
        <f t="shared" si="15"/>
        <v>1.2500009999999999</v>
      </c>
      <c r="W31" s="20">
        <f t="shared" si="16"/>
        <v>1.2903225806451613</v>
      </c>
      <c r="X31" s="21">
        <f t="shared" si="17"/>
        <v>1.9354838709677418</v>
      </c>
      <c r="Y31" s="21">
        <f t="shared" si="18"/>
        <v>0.51666666666666672</v>
      </c>
      <c r="Z31" s="21">
        <v>31</v>
      </c>
      <c r="AA31" s="21">
        <f t="shared" si="19"/>
        <v>-20.714214285714295</v>
      </c>
    </row>
    <row r="32" spans="1:27" x14ac:dyDescent="0.25">
      <c r="A32" s="20">
        <f t="shared" si="3"/>
        <v>1.6216226216216216</v>
      </c>
      <c r="B32" s="20">
        <f t="shared" si="0"/>
        <v>1.6666666666666667</v>
      </c>
      <c r="C32" s="21">
        <f t="shared" si="1"/>
        <v>1.6666666666666667</v>
      </c>
      <c r="D32" s="21">
        <f t="shared" si="4"/>
        <v>0.6</v>
      </c>
      <c r="E32" s="21">
        <v>36</v>
      </c>
      <c r="F32" s="21">
        <f t="shared" si="5"/>
        <v>5.830187258687257</v>
      </c>
      <c r="G32" s="21"/>
      <c r="H32" s="20">
        <f t="shared" si="6"/>
        <v>0.96774293548387103</v>
      </c>
      <c r="I32" s="20">
        <f t="shared" si="7"/>
        <v>1</v>
      </c>
      <c r="J32" s="21">
        <f t="shared" si="8"/>
        <v>2</v>
      </c>
      <c r="K32" s="21">
        <f t="shared" si="2"/>
        <v>0.5</v>
      </c>
      <c r="L32" s="21">
        <v>30</v>
      </c>
      <c r="M32" s="21">
        <f t="shared" si="9"/>
        <v>-40.875504608294932</v>
      </c>
      <c r="N32" s="21"/>
      <c r="O32" s="20">
        <f t="shared" si="10"/>
        <v>0.68965617241379318</v>
      </c>
      <c r="P32" s="20">
        <f t="shared" si="11"/>
        <v>0.7142857142857143</v>
      </c>
      <c r="Q32" s="21">
        <f t="shared" si="12"/>
        <v>2.1428571428571432</v>
      </c>
      <c r="R32" s="21">
        <f t="shared" si="13"/>
        <v>0.46666666666666662</v>
      </c>
      <c r="S32" s="21">
        <v>28</v>
      </c>
      <c r="T32" s="21">
        <f t="shared" si="14"/>
        <v>-60.738844827586206</v>
      </c>
      <c r="V32" s="20">
        <f t="shared" si="15"/>
        <v>1.2121222121212121</v>
      </c>
      <c r="W32" s="20">
        <f t="shared" si="16"/>
        <v>1.25</v>
      </c>
      <c r="X32" s="21">
        <f t="shared" si="17"/>
        <v>1.875</v>
      </c>
      <c r="Y32" s="21">
        <f t="shared" si="18"/>
        <v>0.53333333333333333</v>
      </c>
      <c r="Z32" s="21">
        <v>32</v>
      </c>
      <c r="AA32" s="21">
        <f t="shared" si="19"/>
        <v>-23.419841991342</v>
      </c>
    </row>
    <row r="33" spans="1:27" x14ac:dyDescent="0.25">
      <c r="A33" s="20">
        <f t="shared" si="3"/>
        <v>1.5789483684210526</v>
      </c>
      <c r="B33" s="20">
        <f t="shared" si="0"/>
        <v>1.6216216216216217</v>
      </c>
      <c r="C33" s="21">
        <f t="shared" si="1"/>
        <v>1.6216216216216219</v>
      </c>
      <c r="D33" s="21">
        <f t="shared" si="4"/>
        <v>0.61666666666666659</v>
      </c>
      <c r="E33" s="21">
        <v>37</v>
      </c>
      <c r="F33" s="21">
        <f t="shared" si="5"/>
        <v>2.7820263157894671</v>
      </c>
      <c r="G33" s="21"/>
      <c r="H33" s="20">
        <f t="shared" si="6"/>
        <v>0.93750100000000003</v>
      </c>
      <c r="I33" s="20">
        <f t="shared" si="7"/>
        <v>0.967741935483871</v>
      </c>
      <c r="J33" s="21">
        <f t="shared" si="8"/>
        <v>1.9354838709677422</v>
      </c>
      <c r="K33" s="21">
        <f t="shared" si="2"/>
        <v>0.51666666666666661</v>
      </c>
      <c r="L33" s="21">
        <v>31</v>
      </c>
      <c r="M33" s="21">
        <f t="shared" si="9"/>
        <v>-43.035642857142861</v>
      </c>
      <c r="N33" s="21"/>
      <c r="O33" s="20">
        <f t="shared" si="10"/>
        <v>0.66666766666666666</v>
      </c>
      <c r="P33" s="20">
        <f t="shared" si="11"/>
        <v>0.68965517241379315</v>
      </c>
      <c r="Q33" s="21">
        <f t="shared" si="12"/>
        <v>2.0689655172413794</v>
      </c>
      <c r="R33" s="21">
        <f t="shared" si="13"/>
        <v>0.48333333333333334</v>
      </c>
      <c r="S33" s="21">
        <v>29</v>
      </c>
      <c r="T33" s="21">
        <f t="shared" si="14"/>
        <v>-62.380880952380956</v>
      </c>
      <c r="V33" s="20">
        <f t="shared" si="15"/>
        <v>1.1764715882352941</v>
      </c>
      <c r="W33" s="20">
        <f t="shared" si="16"/>
        <v>1.2121212121212122</v>
      </c>
      <c r="X33" s="21">
        <f t="shared" si="17"/>
        <v>1.8181818181818183</v>
      </c>
      <c r="Y33" s="21">
        <f t="shared" si="18"/>
        <v>0.54999999999999993</v>
      </c>
      <c r="Z33" s="21">
        <v>33</v>
      </c>
      <c r="AA33" s="21">
        <f t="shared" si="19"/>
        <v>-25.966315126050425</v>
      </c>
    </row>
    <row r="34" spans="1:27" x14ac:dyDescent="0.25">
      <c r="A34" s="20">
        <f t="shared" si="3"/>
        <v>1.5384625384615385</v>
      </c>
      <c r="B34" s="20">
        <f t="shared" si="0"/>
        <v>1.5789473684210527</v>
      </c>
      <c r="C34" s="21">
        <f t="shared" si="1"/>
        <v>1.5789473684210527</v>
      </c>
      <c r="D34" s="21">
        <f t="shared" si="4"/>
        <v>0.6333333333333333</v>
      </c>
      <c r="E34" s="21">
        <v>38</v>
      </c>
      <c r="F34" s="21">
        <f t="shared" si="5"/>
        <v>-0.10981868131868364</v>
      </c>
      <c r="G34" s="21"/>
      <c r="H34" s="20">
        <f t="shared" si="6"/>
        <v>0.90909190909090909</v>
      </c>
      <c r="I34" s="20">
        <f t="shared" si="7"/>
        <v>0.9375</v>
      </c>
      <c r="J34" s="21">
        <f t="shared" si="8"/>
        <v>1.875</v>
      </c>
      <c r="K34" s="21">
        <f t="shared" si="2"/>
        <v>0.53333333333333333</v>
      </c>
      <c r="L34" s="21">
        <v>32</v>
      </c>
      <c r="M34" s="21">
        <f t="shared" si="9"/>
        <v>-45.064863636363647</v>
      </c>
      <c r="N34" s="21"/>
      <c r="O34" s="20">
        <f t="shared" si="10"/>
        <v>0.64516229032258066</v>
      </c>
      <c r="P34" s="20">
        <f t="shared" si="11"/>
        <v>0.66666666666666663</v>
      </c>
      <c r="Q34" s="21">
        <f t="shared" si="12"/>
        <v>2</v>
      </c>
      <c r="R34" s="21">
        <f t="shared" si="13"/>
        <v>0.5</v>
      </c>
      <c r="S34" s="21">
        <v>30</v>
      </c>
      <c r="T34" s="21">
        <f t="shared" si="14"/>
        <v>-63.916979262672811</v>
      </c>
      <c r="V34" s="20">
        <f t="shared" si="15"/>
        <v>1.1428581428571427</v>
      </c>
      <c r="W34" s="20">
        <f t="shared" si="16"/>
        <v>1.1764705882352942</v>
      </c>
      <c r="X34" s="21">
        <f t="shared" si="17"/>
        <v>1.7647058823529411</v>
      </c>
      <c r="Y34" s="21">
        <f t="shared" si="18"/>
        <v>0.56666666666666665</v>
      </c>
      <c r="Z34" s="21">
        <v>34</v>
      </c>
      <c r="AA34" s="21">
        <f t="shared" si="19"/>
        <v>-28.367275510204099</v>
      </c>
    </row>
    <row r="35" spans="1:27" x14ac:dyDescent="0.25">
      <c r="A35" s="20">
        <f t="shared" si="3"/>
        <v>1.5000009999999999</v>
      </c>
      <c r="B35" s="20">
        <f t="shared" si="0"/>
        <v>1.5384615384615385</v>
      </c>
      <c r="C35" s="21">
        <f t="shared" si="1"/>
        <v>1.5384615384615388</v>
      </c>
      <c r="D35" s="21">
        <f t="shared" si="4"/>
        <v>0.64999999999999991</v>
      </c>
      <c r="E35" s="21">
        <v>39</v>
      </c>
      <c r="F35" s="21">
        <f t="shared" si="5"/>
        <v>-2.8570714285714374</v>
      </c>
      <c r="G35" s="21"/>
      <c r="H35" s="20">
        <f t="shared" si="6"/>
        <v>0.88235394117647059</v>
      </c>
      <c r="I35" s="20">
        <f t="shared" si="7"/>
        <v>0.90909090909090906</v>
      </c>
      <c r="J35" s="21">
        <f t="shared" si="8"/>
        <v>1.8181818181818181</v>
      </c>
      <c r="K35" s="21">
        <f t="shared" si="2"/>
        <v>0.55000000000000004</v>
      </c>
      <c r="L35" s="21">
        <v>33</v>
      </c>
      <c r="M35" s="21">
        <f t="shared" si="9"/>
        <v>-46.974718487394959</v>
      </c>
      <c r="N35" s="21"/>
      <c r="O35" s="20">
        <f t="shared" si="10"/>
        <v>0.62500100000000003</v>
      </c>
      <c r="P35" s="20">
        <f t="shared" si="11"/>
        <v>0.64516129032258063</v>
      </c>
      <c r="Q35" s="21">
        <f t="shared" si="12"/>
        <v>1.9354838709677418</v>
      </c>
      <c r="R35" s="21">
        <f t="shared" si="13"/>
        <v>0.51666666666666672</v>
      </c>
      <c r="S35" s="21">
        <v>31</v>
      </c>
      <c r="T35" s="21">
        <f t="shared" si="14"/>
        <v>-65.35707142857143</v>
      </c>
      <c r="V35" s="20">
        <f t="shared" si="15"/>
        <v>1.1111121111111111</v>
      </c>
      <c r="W35" s="20">
        <f t="shared" si="16"/>
        <v>1.1428571428571428</v>
      </c>
      <c r="X35" s="21">
        <f t="shared" si="17"/>
        <v>1.7142857142857142</v>
      </c>
      <c r="Y35" s="21">
        <f t="shared" si="18"/>
        <v>0.58333333333333337</v>
      </c>
      <c r="Z35" s="21">
        <v>35</v>
      </c>
      <c r="AA35" s="21">
        <f t="shared" si="19"/>
        <v>-30.634849206349212</v>
      </c>
    </row>
    <row r="36" spans="1:27" x14ac:dyDescent="0.25">
      <c r="A36" s="20">
        <f t="shared" si="3"/>
        <v>1.4634156341463413</v>
      </c>
      <c r="B36" s="20">
        <f t="shared" si="0"/>
        <v>1.5</v>
      </c>
      <c r="C36" s="21">
        <f t="shared" si="1"/>
        <v>1.5</v>
      </c>
      <c r="D36" s="21">
        <f t="shared" si="4"/>
        <v>0.66666666666666663</v>
      </c>
      <c r="E36" s="21">
        <v>40</v>
      </c>
      <c r="F36" s="21">
        <f t="shared" si="5"/>
        <v>-5.4703118466899063</v>
      </c>
      <c r="G36" s="21"/>
      <c r="H36" s="20">
        <f t="shared" si="6"/>
        <v>0.85714385714285712</v>
      </c>
      <c r="I36" s="20">
        <f t="shared" si="7"/>
        <v>0.88235294117647056</v>
      </c>
      <c r="J36" s="21">
        <f t="shared" si="8"/>
        <v>1.7647058823529411</v>
      </c>
      <c r="K36" s="21">
        <f t="shared" si="2"/>
        <v>0.56666666666666665</v>
      </c>
      <c r="L36" s="21">
        <v>34</v>
      </c>
      <c r="M36" s="21">
        <f t="shared" si="9"/>
        <v>-48.77543877551021</v>
      </c>
      <c r="N36" s="21"/>
      <c r="O36" s="20">
        <f t="shared" si="10"/>
        <v>0.60606160606060611</v>
      </c>
      <c r="P36" s="20">
        <f t="shared" si="11"/>
        <v>0.625</v>
      </c>
      <c r="Q36" s="21">
        <f t="shared" si="12"/>
        <v>1.875</v>
      </c>
      <c r="R36" s="21">
        <f t="shared" si="13"/>
        <v>0.53333333333333333</v>
      </c>
      <c r="S36" s="21">
        <v>32</v>
      </c>
      <c r="T36" s="21">
        <f t="shared" si="14"/>
        <v>-66.709885281385283</v>
      </c>
      <c r="V36" s="20">
        <f t="shared" si="15"/>
        <v>1.0810820810810811</v>
      </c>
      <c r="W36" s="20">
        <f t="shared" si="16"/>
        <v>1.1111111111111112</v>
      </c>
      <c r="X36" s="21">
        <f t="shared" si="17"/>
        <v>1.6666666666666667</v>
      </c>
      <c r="Y36" s="21">
        <f t="shared" si="18"/>
        <v>0.6</v>
      </c>
      <c r="Z36" s="21">
        <v>36</v>
      </c>
      <c r="AA36" s="21">
        <f t="shared" si="19"/>
        <v>-32.779851351351361</v>
      </c>
    </row>
    <row r="37" spans="1:27" x14ac:dyDescent="0.25">
      <c r="A37" s="20">
        <f t="shared" si="3"/>
        <v>1.4285724285714285</v>
      </c>
      <c r="B37" s="20">
        <f t="shared" si="0"/>
        <v>1.4634146341463414</v>
      </c>
      <c r="C37" s="21">
        <f t="shared" si="1"/>
        <v>1.4634146341463414</v>
      </c>
      <c r="D37" s="21">
        <f t="shared" si="4"/>
        <v>0.68333333333333335</v>
      </c>
      <c r="E37" s="21">
        <v>41</v>
      </c>
      <c r="F37" s="21">
        <f t="shared" si="5"/>
        <v>-7.9591122448979661</v>
      </c>
      <c r="G37" s="21"/>
      <c r="H37" s="20">
        <f t="shared" si="6"/>
        <v>0.8333343333333334</v>
      </c>
      <c r="I37" s="20">
        <f t="shared" si="7"/>
        <v>0.8571428571428571</v>
      </c>
      <c r="J37" s="21">
        <f t="shared" si="8"/>
        <v>1.7142857142857142</v>
      </c>
      <c r="K37" s="21">
        <f t="shared" si="2"/>
        <v>0.58333333333333337</v>
      </c>
      <c r="L37" s="21">
        <v>35</v>
      </c>
      <c r="M37" s="21">
        <f t="shared" si="9"/>
        <v>-50.476119047619051</v>
      </c>
      <c r="N37" s="21"/>
      <c r="O37" s="20">
        <f t="shared" si="10"/>
        <v>0.58823629411764711</v>
      </c>
      <c r="P37" s="20">
        <f t="shared" si="11"/>
        <v>0.60606060606060608</v>
      </c>
      <c r="Q37" s="21">
        <f t="shared" si="12"/>
        <v>1.8181818181818183</v>
      </c>
      <c r="R37" s="21">
        <f t="shared" si="13"/>
        <v>0.54999999999999993</v>
      </c>
      <c r="S37" s="21">
        <v>33</v>
      </c>
      <c r="T37" s="21">
        <f t="shared" si="14"/>
        <v>-67.983121848739501</v>
      </c>
      <c r="V37" s="20">
        <f t="shared" si="15"/>
        <v>1.0526325789473683</v>
      </c>
      <c r="W37" s="20">
        <f t="shared" si="16"/>
        <v>1.0810810810810811</v>
      </c>
      <c r="X37" s="21">
        <f t="shared" si="17"/>
        <v>1.6216216216216219</v>
      </c>
      <c r="Y37" s="21">
        <f t="shared" si="18"/>
        <v>0.61666666666666659</v>
      </c>
      <c r="Z37" s="21">
        <v>37</v>
      </c>
      <c r="AA37" s="21">
        <f t="shared" si="19"/>
        <v>-34.81195864661656</v>
      </c>
    </row>
    <row r="38" spans="1:27" x14ac:dyDescent="0.25">
      <c r="A38" s="20">
        <f t="shared" si="3"/>
        <v>1.3953498372093023</v>
      </c>
      <c r="B38" s="20">
        <f t="shared" si="0"/>
        <v>1.4285714285714286</v>
      </c>
      <c r="C38" s="21">
        <f t="shared" si="1"/>
        <v>1.4285714285714286</v>
      </c>
      <c r="D38" s="21">
        <f t="shared" si="4"/>
        <v>0.7</v>
      </c>
      <c r="E38" s="21">
        <v>42</v>
      </c>
      <c r="F38" s="21">
        <f t="shared" si="5"/>
        <v>-10.332154485049841</v>
      </c>
      <c r="G38" s="21"/>
      <c r="H38" s="20">
        <f t="shared" si="6"/>
        <v>0.81081181081081088</v>
      </c>
      <c r="I38" s="20">
        <f t="shared" si="7"/>
        <v>0.83333333333333337</v>
      </c>
      <c r="J38" s="21">
        <f t="shared" si="8"/>
        <v>1.6666666666666667</v>
      </c>
      <c r="K38" s="21">
        <f t="shared" si="2"/>
        <v>0.6</v>
      </c>
      <c r="L38" s="21">
        <v>36</v>
      </c>
      <c r="M38" s="21">
        <f t="shared" si="9"/>
        <v>-52.084870656370654</v>
      </c>
      <c r="N38" s="21"/>
      <c r="O38" s="20">
        <f t="shared" si="10"/>
        <v>0.57142957142857143</v>
      </c>
      <c r="P38" s="20">
        <f t="shared" si="11"/>
        <v>0.58823529411764708</v>
      </c>
      <c r="Q38" s="21">
        <f t="shared" si="12"/>
        <v>1.7647058823529411</v>
      </c>
      <c r="R38" s="21">
        <f t="shared" si="13"/>
        <v>0.56666666666666665</v>
      </c>
      <c r="S38" s="21">
        <v>34</v>
      </c>
      <c r="T38" s="21">
        <f t="shared" si="14"/>
        <v>-69.183602040816339</v>
      </c>
      <c r="V38" s="20">
        <f t="shared" si="15"/>
        <v>1.0256420256410257</v>
      </c>
      <c r="W38" s="20">
        <f t="shared" si="16"/>
        <v>1.0526315789473684</v>
      </c>
      <c r="X38" s="21">
        <f t="shared" si="17"/>
        <v>1.5789473684210524</v>
      </c>
      <c r="Y38" s="21">
        <f t="shared" si="18"/>
        <v>0.63333333333333341</v>
      </c>
      <c r="Z38" s="21">
        <v>38</v>
      </c>
      <c r="AA38" s="21">
        <f t="shared" si="19"/>
        <v>-36.739855311355313</v>
      </c>
    </row>
    <row r="39" spans="1:27" x14ac:dyDescent="0.25">
      <c r="A39" s="20">
        <f t="shared" si="3"/>
        <v>1.3636373636363635</v>
      </c>
      <c r="B39" s="20">
        <f t="shared" si="0"/>
        <v>1.3953488372093024</v>
      </c>
      <c r="C39" s="21">
        <f t="shared" si="1"/>
        <v>1.3953488372093024</v>
      </c>
      <c r="D39" s="21">
        <f t="shared" si="4"/>
        <v>0.71666666666666667</v>
      </c>
      <c r="E39" s="21">
        <v>43</v>
      </c>
      <c r="F39" s="21">
        <f t="shared" si="5"/>
        <v>-12.597331168831186</v>
      </c>
      <c r="G39" s="21"/>
      <c r="H39" s="20">
        <f t="shared" si="6"/>
        <v>0.78947468421052636</v>
      </c>
      <c r="I39" s="20">
        <f t="shared" si="7"/>
        <v>0.81081081081081086</v>
      </c>
      <c r="J39" s="21">
        <f t="shared" si="8"/>
        <v>1.6216216216216219</v>
      </c>
      <c r="K39" s="21">
        <f t="shared" si="2"/>
        <v>0.61666666666666659</v>
      </c>
      <c r="L39" s="21">
        <v>37</v>
      </c>
      <c r="M39" s="21">
        <f t="shared" si="9"/>
        <v>-53.608951127819552</v>
      </c>
      <c r="N39" s="21"/>
      <c r="O39" s="20">
        <f t="shared" si="10"/>
        <v>0.55555655555555561</v>
      </c>
      <c r="P39" s="20">
        <f t="shared" si="11"/>
        <v>0.5714285714285714</v>
      </c>
      <c r="Q39" s="21">
        <f t="shared" si="12"/>
        <v>1.7142857142857142</v>
      </c>
      <c r="R39" s="21">
        <f t="shared" si="13"/>
        <v>0.58333333333333337</v>
      </c>
      <c r="S39" s="21">
        <v>35</v>
      </c>
      <c r="T39" s="21">
        <f t="shared" si="14"/>
        <v>-70.317388888888885</v>
      </c>
      <c r="V39" s="20">
        <f t="shared" si="15"/>
        <v>1.0000009999999999</v>
      </c>
      <c r="W39" s="20">
        <f t="shared" si="16"/>
        <v>1.0256410256410258</v>
      </c>
      <c r="X39" s="21">
        <f t="shared" si="17"/>
        <v>1.5384615384615388</v>
      </c>
      <c r="Y39" s="21">
        <f t="shared" si="18"/>
        <v>0.64999999999999991</v>
      </c>
      <c r="Z39" s="21">
        <v>39</v>
      </c>
      <c r="AA39" s="21">
        <f t="shared" si="19"/>
        <v>-38.571357142857153</v>
      </c>
    </row>
    <row r="40" spans="1:27" x14ac:dyDescent="0.25">
      <c r="A40" s="20">
        <f t="shared" si="3"/>
        <v>1.3333343333333332</v>
      </c>
      <c r="B40" s="20">
        <f t="shared" si="0"/>
        <v>1.3636363636363635</v>
      </c>
      <c r="C40" s="21">
        <f t="shared" si="1"/>
        <v>1.3636363636363635</v>
      </c>
      <c r="D40" s="21">
        <f t="shared" si="4"/>
        <v>0.73333333333333339</v>
      </c>
      <c r="E40" s="21">
        <v>44</v>
      </c>
      <c r="F40" s="21">
        <f t="shared" si="5"/>
        <v>-14.76183333333335</v>
      </c>
      <c r="G40" s="21"/>
      <c r="H40" s="20">
        <f t="shared" si="6"/>
        <v>0.7692317692307693</v>
      </c>
      <c r="I40" s="20">
        <f t="shared" si="7"/>
        <v>0.78947368421052633</v>
      </c>
      <c r="J40" s="21">
        <f t="shared" si="8"/>
        <v>1.5789473684210527</v>
      </c>
      <c r="K40" s="21">
        <f t="shared" si="2"/>
        <v>0.6333333333333333</v>
      </c>
      <c r="L40" s="21">
        <v>38</v>
      </c>
      <c r="M40" s="21">
        <f t="shared" si="9"/>
        <v>-55.05487362637362</v>
      </c>
      <c r="N40" s="21"/>
      <c r="O40" s="20">
        <f t="shared" si="10"/>
        <v>0.5405415405405406</v>
      </c>
      <c r="P40" s="20">
        <f t="shared" si="11"/>
        <v>0.55555555555555558</v>
      </c>
      <c r="Q40" s="21">
        <f t="shared" si="12"/>
        <v>1.6666666666666667</v>
      </c>
      <c r="R40" s="21">
        <f t="shared" si="13"/>
        <v>0.6</v>
      </c>
      <c r="S40" s="21">
        <v>36</v>
      </c>
      <c r="T40" s="21">
        <f t="shared" si="14"/>
        <v>-71.389889961389969</v>
      </c>
      <c r="V40" s="20">
        <f t="shared" si="15"/>
        <v>0.97561075609756098</v>
      </c>
      <c r="W40" s="20">
        <f t="shared" si="16"/>
        <v>1</v>
      </c>
      <c r="X40" s="21">
        <f t="shared" si="17"/>
        <v>1.5</v>
      </c>
      <c r="Y40" s="21">
        <f t="shared" si="18"/>
        <v>0.66666666666666663</v>
      </c>
      <c r="Z40" s="21">
        <v>40</v>
      </c>
      <c r="AA40" s="21">
        <f t="shared" si="19"/>
        <v>-40.313517421602789</v>
      </c>
    </row>
    <row r="41" spans="1:27" x14ac:dyDescent="0.25">
      <c r="A41" s="20">
        <f t="shared" si="3"/>
        <v>1.3043488260869565</v>
      </c>
      <c r="B41" s="20">
        <f t="shared" si="0"/>
        <v>1.3333333333333333</v>
      </c>
      <c r="C41" s="21">
        <f t="shared" si="1"/>
        <v>1.3333333333333333</v>
      </c>
      <c r="D41" s="21">
        <f t="shared" si="4"/>
        <v>0.75</v>
      </c>
      <c r="E41" s="21">
        <v>45</v>
      </c>
      <c r="F41" s="21">
        <f t="shared" si="5"/>
        <v>-16.832226708074543</v>
      </c>
      <c r="G41" s="21"/>
      <c r="H41" s="20">
        <f t="shared" si="6"/>
        <v>0.75000100000000003</v>
      </c>
      <c r="I41" s="20">
        <f t="shared" si="7"/>
        <v>0.76923076923076927</v>
      </c>
      <c r="J41" s="21">
        <f t="shared" si="8"/>
        <v>1.5384615384615388</v>
      </c>
      <c r="K41" s="21">
        <f t="shared" si="2"/>
        <v>0.64999999999999991</v>
      </c>
      <c r="L41" s="21">
        <v>39</v>
      </c>
      <c r="M41" s="21">
        <f t="shared" si="9"/>
        <v>-56.428500000000007</v>
      </c>
      <c r="N41" s="21"/>
      <c r="O41" s="20">
        <f t="shared" si="10"/>
        <v>0.52631678947368421</v>
      </c>
      <c r="P41" s="20">
        <f t="shared" si="11"/>
        <v>0.54054054054054057</v>
      </c>
      <c r="Q41" s="21">
        <f t="shared" si="12"/>
        <v>1.6216216216216219</v>
      </c>
      <c r="R41" s="21">
        <f t="shared" si="13"/>
        <v>0.61666666666666659</v>
      </c>
      <c r="S41" s="21">
        <v>37</v>
      </c>
      <c r="T41" s="21">
        <f t="shared" si="14"/>
        <v>-72.405943609022557</v>
      </c>
      <c r="V41" s="20">
        <f t="shared" si="15"/>
        <v>0.95238195238095247</v>
      </c>
      <c r="W41" s="20">
        <f t="shared" si="16"/>
        <v>0.97560975609756095</v>
      </c>
      <c r="X41" s="21">
        <f t="shared" si="17"/>
        <v>1.4634146341463412</v>
      </c>
      <c r="Y41" s="21">
        <f t="shared" si="18"/>
        <v>0.68333333333333346</v>
      </c>
      <c r="Z41" s="21">
        <v>41</v>
      </c>
      <c r="AA41" s="21">
        <f t="shared" si="19"/>
        <v>-41.972717687074827</v>
      </c>
    </row>
    <row r="42" spans="1:27" x14ac:dyDescent="0.25">
      <c r="A42" s="20">
        <f t="shared" si="3"/>
        <v>1.276596744680851</v>
      </c>
      <c r="B42" s="20">
        <f t="shared" si="0"/>
        <v>1.3043478260869565</v>
      </c>
      <c r="C42" s="21">
        <f t="shared" si="1"/>
        <v>1.3043478260869565</v>
      </c>
      <c r="D42" s="21">
        <f t="shared" si="4"/>
        <v>0.76666666666666661</v>
      </c>
      <c r="E42" s="21">
        <v>46</v>
      </c>
      <c r="F42" s="21">
        <f t="shared" si="5"/>
        <v>-18.814518237082073</v>
      </c>
      <c r="G42" s="21"/>
      <c r="H42" s="20">
        <f t="shared" si="6"/>
        <v>0.73170831707317074</v>
      </c>
      <c r="I42" s="20">
        <f t="shared" si="7"/>
        <v>0.75</v>
      </c>
      <c r="J42" s="21">
        <f t="shared" si="8"/>
        <v>1.5</v>
      </c>
      <c r="K42" s="21">
        <f t="shared" si="2"/>
        <v>0.66666666666666663</v>
      </c>
      <c r="L42" s="21">
        <v>40</v>
      </c>
      <c r="M42" s="21">
        <f t="shared" si="9"/>
        <v>-57.735120209059247</v>
      </c>
      <c r="N42" s="21"/>
      <c r="O42" s="20">
        <f t="shared" si="10"/>
        <v>0.51282151282051291</v>
      </c>
      <c r="P42" s="20">
        <f t="shared" si="11"/>
        <v>0.52631578947368418</v>
      </c>
      <c r="Q42" s="21">
        <f t="shared" si="12"/>
        <v>1.5789473684210524</v>
      </c>
      <c r="R42" s="21">
        <f t="shared" si="13"/>
        <v>0.63333333333333341</v>
      </c>
      <c r="S42" s="21">
        <v>38</v>
      </c>
      <c r="T42" s="21">
        <f t="shared" si="14"/>
        <v>-73.369891941391941</v>
      </c>
      <c r="V42" s="20">
        <f t="shared" si="15"/>
        <v>0.9302335581395349</v>
      </c>
      <c r="W42" s="20">
        <f t="shared" si="16"/>
        <v>0.95238095238095244</v>
      </c>
      <c r="X42" s="21">
        <f t="shared" si="17"/>
        <v>1.4285714285714284</v>
      </c>
      <c r="Y42" s="21">
        <f t="shared" si="18"/>
        <v>0.70000000000000007</v>
      </c>
      <c r="Z42" s="21">
        <v>42</v>
      </c>
      <c r="AA42" s="21">
        <f t="shared" si="19"/>
        <v>-43.554745847176086</v>
      </c>
    </row>
    <row r="43" spans="1:27" x14ac:dyDescent="0.25">
      <c r="A43" s="20">
        <f t="shared" si="3"/>
        <v>1.2500009999999999</v>
      </c>
      <c r="B43" s="20">
        <f t="shared" si="0"/>
        <v>1.2765957446808511</v>
      </c>
      <c r="C43" s="21">
        <f t="shared" si="1"/>
        <v>1.2765957446808511</v>
      </c>
      <c r="D43" s="21">
        <f t="shared" si="4"/>
        <v>0.78333333333333333</v>
      </c>
      <c r="E43" s="21">
        <v>47</v>
      </c>
      <c r="F43" s="21">
        <f t="shared" si="5"/>
        <v>-20.714214285714295</v>
      </c>
      <c r="G43" s="21"/>
      <c r="H43" s="20">
        <f t="shared" si="6"/>
        <v>0.71428671428571433</v>
      </c>
      <c r="I43" s="20">
        <f t="shared" si="7"/>
        <v>0.73170731707317072</v>
      </c>
      <c r="J43" s="21">
        <f t="shared" si="8"/>
        <v>1.4634146341463414</v>
      </c>
      <c r="K43" s="21">
        <f t="shared" si="2"/>
        <v>0.68333333333333335</v>
      </c>
      <c r="L43" s="21">
        <v>41</v>
      </c>
      <c r="M43" s="21">
        <f t="shared" si="9"/>
        <v>-58.979520408163268</v>
      </c>
      <c r="N43" s="21"/>
      <c r="O43" s="20">
        <f t="shared" si="10"/>
        <v>0.50000100000000003</v>
      </c>
      <c r="P43" s="20">
        <f t="shared" si="11"/>
        <v>0.51282051282051289</v>
      </c>
      <c r="Q43" s="21">
        <f t="shared" si="12"/>
        <v>1.5384615384615388</v>
      </c>
      <c r="R43" s="21">
        <f t="shared" si="13"/>
        <v>0.64999999999999991</v>
      </c>
      <c r="S43" s="21">
        <v>39</v>
      </c>
      <c r="T43" s="21">
        <f t="shared" si="14"/>
        <v>-74.285642857142847</v>
      </c>
      <c r="V43" s="20">
        <f t="shared" si="15"/>
        <v>0.90909190909090909</v>
      </c>
      <c r="W43" s="20">
        <f t="shared" si="16"/>
        <v>0.93023255813953487</v>
      </c>
      <c r="X43" s="21">
        <f t="shared" si="17"/>
        <v>1.3953488372093024</v>
      </c>
      <c r="Y43" s="21">
        <f t="shared" si="18"/>
        <v>0.71666666666666667</v>
      </c>
      <c r="Z43" s="21">
        <v>43</v>
      </c>
      <c r="AA43" s="21">
        <f t="shared" si="19"/>
        <v>-45.064863636363647</v>
      </c>
    </row>
    <row r="44" spans="1:27" x14ac:dyDescent="0.25">
      <c r="A44" s="20">
        <f t="shared" si="3"/>
        <v>1.2244907959183673</v>
      </c>
      <c r="B44" s="20">
        <f t="shared" si="0"/>
        <v>1.25</v>
      </c>
      <c r="C44" s="21">
        <f t="shared" si="1"/>
        <v>1.25</v>
      </c>
      <c r="D44" s="21">
        <f t="shared" si="4"/>
        <v>0.8</v>
      </c>
      <c r="E44" s="21">
        <v>48</v>
      </c>
      <c r="F44" s="21">
        <f t="shared" si="5"/>
        <v>-22.536371720116627</v>
      </c>
      <c r="G44" s="21"/>
      <c r="H44" s="20">
        <f t="shared" si="6"/>
        <v>0.69767541860465121</v>
      </c>
      <c r="I44" s="20">
        <f t="shared" si="7"/>
        <v>0.7142857142857143</v>
      </c>
      <c r="J44" s="21">
        <f t="shared" si="8"/>
        <v>1.4285714285714286</v>
      </c>
      <c r="K44" s="21">
        <f t="shared" si="2"/>
        <v>0.7</v>
      </c>
      <c r="L44" s="21">
        <v>42</v>
      </c>
      <c r="M44" s="21">
        <f t="shared" si="9"/>
        <v>-60.166041528239198</v>
      </c>
      <c r="N44" s="21"/>
      <c r="O44" s="20">
        <f t="shared" si="10"/>
        <v>0.48780587804878045</v>
      </c>
      <c r="P44" s="20">
        <f t="shared" si="11"/>
        <v>0.5</v>
      </c>
      <c r="Q44" s="21">
        <f t="shared" si="12"/>
        <v>1.5</v>
      </c>
      <c r="R44" s="21">
        <f t="shared" si="13"/>
        <v>0.66666666666666663</v>
      </c>
      <c r="S44" s="21">
        <v>40</v>
      </c>
      <c r="T44" s="21">
        <f t="shared" si="14"/>
        <v>-75.156722996515697</v>
      </c>
      <c r="V44" s="20">
        <f t="shared" si="15"/>
        <v>0.88888988888888887</v>
      </c>
      <c r="W44" s="20">
        <f t="shared" si="16"/>
        <v>0.90909090909090906</v>
      </c>
      <c r="X44" s="21">
        <f t="shared" si="17"/>
        <v>1.3636363636363635</v>
      </c>
      <c r="Y44" s="21">
        <f t="shared" si="18"/>
        <v>0.73333333333333339</v>
      </c>
      <c r="Z44" s="21">
        <v>44</v>
      </c>
      <c r="AA44" s="21">
        <f t="shared" si="19"/>
        <v>-46.507865079365082</v>
      </c>
    </row>
    <row r="45" spans="1:27" x14ac:dyDescent="0.25">
      <c r="A45" s="20">
        <f t="shared" si="3"/>
        <v>1.2000009999999999</v>
      </c>
      <c r="B45" s="20">
        <f t="shared" si="0"/>
        <v>1.2244897959183674</v>
      </c>
      <c r="C45" s="21">
        <f t="shared" si="1"/>
        <v>1.2244897959183674</v>
      </c>
      <c r="D45" s="21">
        <f t="shared" si="4"/>
        <v>0.81666666666666665</v>
      </c>
      <c r="E45" s="21">
        <v>49</v>
      </c>
      <c r="F45" s="21">
        <f t="shared" si="5"/>
        <v>-24.285642857142868</v>
      </c>
      <c r="G45" s="21"/>
      <c r="H45" s="20">
        <f t="shared" si="6"/>
        <v>0.6818191818181818</v>
      </c>
      <c r="I45" s="20">
        <f t="shared" si="7"/>
        <v>0.69767441860465118</v>
      </c>
      <c r="J45" s="21">
        <f t="shared" si="8"/>
        <v>1.3953488372093024</v>
      </c>
      <c r="K45" s="21">
        <f t="shared" si="2"/>
        <v>0.71666666666666667</v>
      </c>
      <c r="L45" s="21">
        <v>43</v>
      </c>
      <c r="M45" s="21">
        <f t="shared" si="9"/>
        <v>-61.298629870129872</v>
      </c>
      <c r="N45" s="21"/>
      <c r="O45" s="21"/>
      <c r="P45" s="21"/>
      <c r="Q45" s="21"/>
      <c r="R45" s="21"/>
      <c r="S45" s="21"/>
      <c r="V45" s="20">
        <f t="shared" si="15"/>
        <v>0.86956621739130435</v>
      </c>
      <c r="W45" s="20">
        <f t="shared" si="16"/>
        <v>0.88888888888888884</v>
      </c>
      <c r="X45" s="21">
        <f t="shared" si="17"/>
        <v>1.3333333333333333</v>
      </c>
      <c r="Y45" s="21">
        <f t="shared" si="18"/>
        <v>0.75</v>
      </c>
      <c r="Z45" s="21">
        <v>45</v>
      </c>
      <c r="AA45" s="21">
        <f t="shared" si="19"/>
        <v>-47.888127329192557</v>
      </c>
    </row>
    <row r="46" spans="1:27" x14ac:dyDescent="0.25">
      <c r="A46" s="20">
        <f t="shared" si="3"/>
        <v>1.1764715882352941</v>
      </c>
      <c r="B46" s="20">
        <f t="shared" si="0"/>
        <v>1.2</v>
      </c>
      <c r="C46" s="21">
        <f t="shared" si="1"/>
        <v>1.2</v>
      </c>
      <c r="D46" s="21">
        <f t="shared" si="4"/>
        <v>0.83333333333333337</v>
      </c>
      <c r="E46" s="21">
        <v>50</v>
      </c>
      <c r="F46" s="21">
        <f t="shared" si="5"/>
        <v>-25.966315126050425</v>
      </c>
      <c r="G46" s="21"/>
      <c r="H46" s="20">
        <f t="shared" si="6"/>
        <v>0.66666766666666666</v>
      </c>
      <c r="I46" s="20">
        <f t="shared" si="7"/>
        <v>0.68181818181818177</v>
      </c>
      <c r="J46" s="21">
        <f t="shared" si="8"/>
        <v>1.3636363636363635</v>
      </c>
      <c r="K46" s="21">
        <f t="shared" si="2"/>
        <v>0.73333333333333339</v>
      </c>
      <c r="L46" s="21">
        <v>44</v>
      </c>
      <c r="M46" s="21">
        <f t="shared" si="9"/>
        <v>-62.380880952380956</v>
      </c>
      <c r="N46" s="21"/>
      <c r="O46" s="21"/>
      <c r="P46" s="21"/>
      <c r="Q46" s="21"/>
      <c r="R46" s="21"/>
      <c r="S46" s="21"/>
      <c r="V46" s="20">
        <f t="shared" si="15"/>
        <v>0.85106482978723408</v>
      </c>
      <c r="W46" s="20">
        <f t="shared" si="16"/>
        <v>0.86956521739130432</v>
      </c>
      <c r="X46" s="21">
        <f t="shared" si="17"/>
        <v>1.3043478260869565</v>
      </c>
      <c r="Y46" s="21">
        <f t="shared" si="18"/>
        <v>0.76666666666666672</v>
      </c>
      <c r="Z46" s="21">
        <v>46</v>
      </c>
      <c r="AA46" s="21">
        <f t="shared" si="19"/>
        <v>-49.209655015197576</v>
      </c>
    </row>
    <row r="47" spans="1:27" x14ac:dyDescent="0.25">
      <c r="A47" s="20">
        <f t="shared" si="3"/>
        <v>1.1538471538461537</v>
      </c>
      <c r="B47" s="20">
        <f t="shared" si="0"/>
        <v>1.1764705882352942</v>
      </c>
      <c r="C47" s="21">
        <f t="shared" si="1"/>
        <v>1.1764705882352942</v>
      </c>
      <c r="D47" s="21">
        <f t="shared" si="4"/>
        <v>0.85</v>
      </c>
      <c r="E47" s="21">
        <v>51</v>
      </c>
      <c r="F47" s="21">
        <f t="shared" si="5"/>
        <v>-27.582346153846171</v>
      </c>
      <c r="G47" s="21"/>
      <c r="H47" s="20">
        <f t="shared" si="6"/>
        <v>0.6521749130434783</v>
      </c>
      <c r="I47" s="20">
        <f t="shared" si="7"/>
        <v>0.66666666666666663</v>
      </c>
      <c r="J47" s="21">
        <f t="shared" si="8"/>
        <v>1.3333333333333333</v>
      </c>
      <c r="K47" s="21">
        <f t="shared" si="2"/>
        <v>0.75</v>
      </c>
      <c r="L47" s="21">
        <v>45</v>
      </c>
      <c r="M47" s="21">
        <f t="shared" si="9"/>
        <v>-63.416077639751556</v>
      </c>
      <c r="N47" s="21"/>
      <c r="O47" s="21"/>
      <c r="P47" s="21"/>
      <c r="Q47" s="21"/>
      <c r="R47" s="21"/>
      <c r="S47" s="21"/>
      <c r="V47" s="20">
        <f t="shared" si="15"/>
        <v>0.8333343333333334</v>
      </c>
      <c r="W47" s="20">
        <f t="shared" si="16"/>
        <v>0.85106382978723405</v>
      </c>
      <c r="X47" s="21">
        <f t="shared" si="17"/>
        <v>1.2765957446808511</v>
      </c>
      <c r="Y47" s="21">
        <f t="shared" si="18"/>
        <v>0.78333333333333333</v>
      </c>
      <c r="Z47" s="21">
        <v>47</v>
      </c>
      <c r="AA47" s="21">
        <f t="shared" si="19"/>
        <v>-50.476119047619051</v>
      </c>
    </row>
    <row r="48" spans="1:27" x14ac:dyDescent="0.25">
      <c r="A48" s="20">
        <f t="shared" si="3"/>
        <v>1.1320764716981131</v>
      </c>
      <c r="B48" s="20">
        <f t="shared" si="0"/>
        <v>1.1538461538461537</v>
      </c>
      <c r="C48" s="21">
        <f t="shared" si="1"/>
        <v>1.1538461538461537</v>
      </c>
      <c r="D48" s="21">
        <f t="shared" si="4"/>
        <v>0.8666666666666667</v>
      </c>
      <c r="E48" s="21">
        <v>52</v>
      </c>
      <c r="F48" s="21">
        <f t="shared" si="5"/>
        <v>-29.137394878706214</v>
      </c>
      <c r="G48" s="21"/>
      <c r="H48" s="20">
        <f t="shared" si="6"/>
        <v>0.63829887234042559</v>
      </c>
      <c r="I48" s="20">
        <f t="shared" si="7"/>
        <v>0.65217391304347827</v>
      </c>
      <c r="J48" s="21">
        <f t="shared" si="8"/>
        <v>1.3043478260869565</v>
      </c>
      <c r="K48" s="21">
        <f t="shared" si="2"/>
        <v>0.76666666666666661</v>
      </c>
      <c r="L48" s="21">
        <v>46</v>
      </c>
      <c r="M48" s="21">
        <f t="shared" si="9"/>
        <v>-64.407223404255319</v>
      </c>
      <c r="N48" s="21"/>
      <c r="O48" s="21"/>
      <c r="P48" s="21"/>
      <c r="Q48" s="21"/>
      <c r="R48" s="21"/>
      <c r="S48" s="21"/>
      <c r="V48" s="20">
        <f t="shared" si="15"/>
        <v>0.81632753061224494</v>
      </c>
      <c r="W48" s="20">
        <f t="shared" si="16"/>
        <v>0.83333333333333337</v>
      </c>
      <c r="X48" s="21">
        <f t="shared" si="17"/>
        <v>1.25</v>
      </c>
      <c r="Y48" s="21">
        <f t="shared" si="18"/>
        <v>0.79999999999999993</v>
      </c>
      <c r="Z48" s="21">
        <v>48</v>
      </c>
      <c r="AA48" s="21">
        <f t="shared" si="19"/>
        <v>-51.690890670553934</v>
      </c>
    </row>
    <row r="49" spans="1:27" x14ac:dyDescent="0.25">
      <c r="A49" s="20">
        <f t="shared" si="3"/>
        <v>1.1111121111111111</v>
      </c>
      <c r="B49" s="20">
        <f t="shared" si="0"/>
        <v>1.1320754716981132</v>
      </c>
      <c r="C49" s="21">
        <f t="shared" si="1"/>
        <v>1.1320754716981132</v>
      </c>
      <c r="D49" s="21">
        <f t="shared" si="4"/>
        <v>0.8833333333333333</v>
      </c>
      <c r="E49" s="21">
        <v>53</v>
      </c>
      <c r="F49" s="21">
        <f t="shared" si="5"/>
        <v>-30.634849206349212</v>
      </c>
      <c r="G49" s="21"/>
      <c r="H49" s="20">
        <f t="shared" si="6"/>
        <v>0.62500100000000003</v>
      </c>
      <c r="I49" s="20">
        <f t="shared" si="7"/>
        <v>0.63829787234042556</v>
      </c>
      <c r="J49" s="21">
        <f t="shared" si="8"/>
        <v>1.2765957446808511</v>
      </c>
      <c r="K49" s="21">
        <f t="shared" si="2"/>
        <v>0.78333333333333333</v>
      </c>
      <c r="L49" s="21">
        <v>47</v>
      </c>
      <c r="M49" s="21">
        <f t="shared" si="9"/>
        <v>-65.35707142857143</v>
      </c>
      <c r="N49" s="21"/>
      <c r="O49" s="21"/>
      <c r="P49" s="21"/>
      <c r="Q49" s="21"/>
      <c r="R49" s="21"/>
      <c r="S49" s="21"/>
      <c r="V49" s="20">
        <f t="shared" si="15"/>
        <v>0.80000099999999996</v>
      </c>
      <c r="W49" s="20">
        <f t="shared" si="16"/>
        <v>0.81632653061224492</v>
      </c>
      <c r="X49" s="21">
        <f t="shared" si="17"/>
        <v>1.2244897959183676</v>
      </c>
      <c r="Y49" s="21">
        <f t="shared" si="18"/>
        <v>0.81666666666666654</v>
      </c>
      <c r="Z49" s="21">
        <v>49</v>
      </c>
      <c r="AA49" s="21">
        <f t="shared" si="19"/>
        <v>-52.85707142857143</v>
      </c>
    </row>
    <row r="50" spans="1:27" x14ac:dyDescent="0.25">
      <c r="A50" s="20">
        <f t="shared" si="3"/>
        <v>1.0909100909090907</v>
      </c>
      <c r="B50" s="20">
        <f t="shared" si="0"/>
        <v>1.1111111111111112</v>
      </c>
      <c r="C50" s="21">
        <f t="shared" si="1"/>
        <v>1.1111111111111112</v>
      </c>
      <c r="D50" s="21">
        <f t="shared" si="4"/>
        <v>0.89999999999999991</v>
      </c>
      <c r="E50" s="21">
        <v>54</v>
      </c>
      <c r="F50" s="21">
        <f t="shared" si="5"/>
        <v>-32.077850649350665</v>
      </c>
      <c r="G50" s="21"/>
      <c r="H50" s="20">
        <f t="shared" si="6"/>
        <v>0.61224589795918372</v>
      </c>
      <c r="I50" s="20">
        <f t="shared" si="7"/>
        <v>0.625</v>
      </c>
      <c r="J50" s="21">
        <f t="shared" si="8"/>
        <v>1.25</v>
      </c>
      <c r="K50" s="21">
        <f t="shared" si="2"/>
        <v>0.8</v>
      </c>
      <c r="L50" s="21">
        <v>48</v>
      </c>
      <c r="M50" s="21">
        <f t="shared" si="9"/>
        <v>-66.268150145772594</v>
      </c>
      <c r="N50" s="21"/>
      <c r="O50" s="21"/>
      <c r="P50" s="21"/>
      <c r="Q50" s="21"/>
      <c r="R50" s="21"/>
      <c r="S50" s="21"/>
      <c r="V50" s="20">
        <f t="shared" si="15"/>
        <v>0.7843147254901961</v>
      </c>
      <c r="W50" s="20">
        <f t="shared" si="16"/>
        <v>0.79999999999999993</v>
      </c>
      <c r="X50" s="21">
        <f t="shared" si="17"/>
        <v>1.2</v>
      </c>
      <c r="Y50" s="21">
        <f t="shared" si="18"/>
        <v>0.83333333333333337</v>
      </c>
      <c r="Z50" s="21">
        <v>50</v>
      </c>
      <c r="AA50" s="21">
        <f t="shared" si="19"/>
        <v>-53.977519607843135</v>
      </c>
    </row>
    <row r="51" spans="1:27" x14ac:dyDescent="0.25">
      <c r="A51" s="20">
        <f t="shared" si="3"/>
        <v>1.0714295714285713</v>
      </c>
      <c r="B51" s="20">
        <f t="shared" si="0"/>
        <v>1.0909090909090908</v>
      </c>
      <c r="C51" s="21">
        <f t="shared" si="1"/>
        <v>1.0909090909090908</v>
      </c>
      <c r="D51" s="21">
        <f t="shared" si="4"/>
        <v>0.91666666666666674</v>
      </c>
      <c r="E51" s="21">
        <v>55</v>
      </c>
      <c r="F51" s="21">
        <f t="shared" si="5"/>
        <v>-33.469316326530624</v>
      </c>
      <c r="G51" s="21"/>
      <c r="H51" s="20">
        <f t="shared" si="6"/>
        <v>0.60000100000000001</v>
      </c>
      <c r="I51" s="20">
        <f t="shared" si="7"/>
        <v>0.61224489795918369</v>
      </c>
      <c r="J51" s="21">
        <f t="shared" si="8"/>
        <v>1.2244897959183674</v>
      </c>
      <c r="K51" s="21">
        <f t="shared" si="2"/>
        <v>0.81666666666666665</v>
      </c>
      <c r="L51" s="21">
        <v>49</v>
      </c>
      <c r="M51" s="21">
        <f t="shared" si="9"/>
        <v>-67.142785714285722</v>
      </c>
      <c r="N51" s="21"/>
      <c r="O51" s="21"/>
      <c r="P51" s="21"/>
      <c r="Q51" s="21"/>
      <c r="R51" s="21"/>
      <c r="S51" s="21"/>
      <c r="V51" s="20">
        <f t="shared" si="15"/>
        <v>0.76923176923076919</v>
      </c>
      <c r="W51" s="20">
        <f t="shared" si="16"/>
        <v>0.78431372549019607</v>
      </c>
      <c r="X51" s="21">
        <f t="shared" si="17"/>
        <v>1.1764705882352942</v>
      </c>
      <c r="Y51" s="21">
        <f t="shared" si="18"/>
        <v>0.85</v>
      </c>
      <c r="Z51" s="21">
        <v>51</v>
      </c>
      <c r="AA51" s="21">
        <f t="shared" si="19"/>
        <v>-55.054873626373634</v>
      </c>
    </row>
    <row r="52" spans="1:27" x14ac:dyDescent="0.25">
      <c r="A52" s="20">
        <f t="shared" si="3"/>
        <v>1.0526325789473683</v>
      </c>
      <c r="B52" s="20">
        <f t="shared" si="0"/>
        <v>1.0714285714285714</v>
      </c>
      <c r="C52" s="21">
        <f t="shared" si="1"/>
        <v>1.0714285714285714</v>
      </c>
      <c r="D52" s="21">
        <f t="shared" si="4"/>
        <v>0.93333333333333335</v>
      </c>
      <c r="E52" s="21">
        <v>56</v>
      </c>
      <c r="F52" s="21">
        <f t="shared" si="5"/>
        <v>-34.81195864661656</v>
      </c>
      <c r="G52" s="21"/>
      <c r="H52" s="20">
        <f t="shared" si="6"/>
        <v>0.58823629411764711</v>
      </c>
      <c r="I52" s="20">
        <f t="shared" si="7"/>
        <v>0.6</v>
      </c>
      <c r="J52" s="21">
        <f t="shared" si="8"/>
        <v>1.2</v>
      </c>
      <c r="K52" s="21">
        <f t="shared" si="2"/>
        <v>0.83333333333333337</v>
      </c>
      <c r="L52" s="21">
        <v>50</v>
      </c>
      <c r="M52" s="21">
        <f t="shared" si="9"/>
        <v>-67.983121848739501</v>
      </c>
      <c r="N52" s="21"/>
      <c r="O52" s="21"/>
      <c r="P52" s="21"/>
      <c r="Q52" s="21"/>
      <c r="R52" s="21"/>
      <c r="S52" s="21"/>
      <c r="V52" s="20">
        <f t="shared" si="15"/>
        <v>0.75471798113207544</v>
      </c>
      <c r="W52" s="20">
        <f t="shared" si="16"/>
        <v>0.76923076923076916</v>
      </c>
      <c r="X52" s="21">
        <f t="shared" si="17"/>
        <v>1.1538461538461537</v>
      </c>
      <c r="Y52" s="21">
        <f t="shared" si="18"/>
        <v>0.8666666666666667</v>
      </c>
      <c r="Z52" s="21">
        <v>52</v>
      </c>
      <c r="AA52" s="21">
        <f t="shared" si="19"/>
        <v>-56.09157277628033</v>
      </c>
    </row>
    <row r="53" spans="1:27" x14ac:dyDescent="0.25">
      <c r="A53" s="20">
        <f t="shared" si="3"/>
        <v>1.0344837586206896</v>
      </c>
      <c r="B53" s="20">
        <f t="shared" si="0"/>
        <v>1.0526315789473684</v>
      </c>
      <c r="C53" s="21">
        <f t="shared" si="1"/>
        <v>1.0526315789473684</v>
      </c>
      <c r="D53" s="21">
        <f t="shared" si="4"/>
        <v>0.95000000000000007</v>
      </c>
      <c r="E53" s="21">
        <v>57</v>
      </c>
      <c r="F53" s="21">
        <f t="shared" si="5"/>
        <v>-36.108302955665025</v>
      </c>
      <c r="G53" s="21"/>
      <c r="H53" s="20">
        <f t="shared" si="6"/>
        <v>0.5769240769230769</v>
      </c>
      <c r="I53" s="20">
        <f t="shared" si="7"/>
        <v>0.58823529411764708</v>
      </c>
      <c r="J53" s="21">
        <f t="shared" si="8"/>
        <v>1.1764705882352942</v>
      </c>
      <c r="K53" s="21">
        <f t="shared" si="2"/>
        <v>0.85</v>
      </c>
      <c r="L53" s="21">
        <v>51</v>
      </c>
      <c r="M53" s="21">
        <f t="shared" si="9"/>
        <v>-68.791137362637372</v>
      </c>
      <c r="N53" s="21"/>
      <c r="O53" s="21"/>
      <c r="P53" s="21"/>
      <c r="Q53" s="21"/>
      <c r="R53" s="21"/>
      <c r="S53" s="21"/>
      <c r="V53" s="20">
        <f t="shared" si="15"/>
        <v>0.74074174074074084</v>
      </c>
      <c r="W53" s="20">
        <f t="shared" si="16"/>
        <v>0.75471698113207542</v>
      </c>
      <c r="X53" s="21">
        <f t="shared" si="17"/>
        <v>1.1320754716981132</v>
      </c>
      <c r="Y53" s="21">
        <f t="shared" si="18"/>
        <v>0.88333333333333341</v>
      </c>
      <c r="Z53" s="21">
        <v>53</v>
      </c>
      <c r="AA53" s="21">
        <f t="shared" si="19"/>
        <v>-57.089875661375658</v>
      </c>
    </row>
    <row r="54" spans="1:27" x14ac:dyDescent="0.25">
      <c r="A54" s="20">
        <f t="shared" si="3"/>
        <v>1.0169501525423728</v>
      </c>
      <c r="B54" s="20">
        <f t="shared" si="0"/>
        <v>1.0344827586206897</v>
      </c>
      <c r="C54" s="21">
        <f t="shared" si="1"/>
        <v>1.0344827586206897</v>
      </c>
      <c r="D54" s="21">
        <f t="shared" si="4"/>
        <v>0.96666666666666656</v>
      </c>
      <c r="E54" s="21">
        <v>58</v>
      </c>
      <c r="F54" s="21">
        <f t="shared" si="5"/>
        <v>-37.360703389830526</v>
      </c>
      <c r="G54" s="21"/>
      <c r="H54" s="20">
        <f t="shared" si="6"/>
        <v>0.56603873584905662</v>
      </c>
      <c r="I54" s="20">
        <f t="shared" si="7"/>
        <v>0.57692307692307687</v>
      </c>
      <c r="J54" s="21">
        <f t="shared" si="8"/>
        <v>1.1538461538461537</v>
      </c>
      <c r="K54" s="21">
        <f t="shared" si="2"/>
        <v>0.8666666666666667</v>
      </c>
      <c r="L54" s="21">
        <v>52</v>
      </c>
      <c r="M54" s="21">
        <f t="shared" si="9"/>
        <v>-69.568661725067386</v>
      </c>
      <c r="N54" s="21"/>
      <c r="O54" s="21"/>
      <c r="P54" s="21"/>
      <c r="Q54" s="21"/>
      <c r="R54" s="21"/>
      <c r="S54" s="21"/>
      <c r="V54" s="20">
        <f t="shared" si="15"/>
        <v>0.72727372727272721</v>
      </c>
      <c r="W54" s="20">
        <f t="shared" si="16"/>
        <v>0.74074074074074081</v>
      </c>
      <c r="X54" s="21">
        <f t="shared" si="17"/>
        <v>1.1111111111111112</v>
      </c>
      <c r="Y54" s="21">
        <f t="shared" si="18"/>
        <v>0.89999999999999991</v>
      </c>
      <c r="Z54" s="21">
        <v>54</v>
      </c>
      <c r="AA54" s="21">
        <f t="shared" si="19"/>
        <v>-58.051876623376629</v>
      </c>
    </row>
    <row r="55" spans="1:27" x14ac:dyDescent="0.25">
      <c r="A55" s="20">
        <f t="shared" si="3"/>
        <v>1.0000009999999999</v>
      </c>
      <c r="B55" s="20">
        <f t="shared" si="0"/>
        <v>1.0169491525423728</v>
      </c>
      <c r="C55" s="21">
        <f t="shared" si="1"/>
        <v>1.0169491525423728</v>
      </c>
      <c r="D55" s="21">
        <f t="shared" si="4"/>
        <v>0.98333333333333339</v>
      </c>
      <c r="E55" s="21">
        <v>59</v>
      </c>
      <c r="F55" s="21">
        <f t="shared" si="5"/>
        <v>-38.571357142857153</v>
      </c>
      <c r="G55" s="21"/>
      <c r="H55" s="20">
        <f t="shared" si="6"/>
        <v>0.55555655555555561</v>
      </c>
      <c r="I55" s="20">
        <f t="shared" si="7"/>
        <v>0.56603773584905659</v>
      </c>
      <c r="J55" s="21">
        <f t="shared" si="8"/>
        <v>1.1320754716981132</v>
      </c>
      <c r="K55" s="21">
        <f t="shared" si="2"/>
        <v>0.8833333333333333</v>
      </c>
      <c r="L55" s="21">
        <v>53</v>
      </c>
      <c r="M55" s="21">
        <f t="shared" si="9"/>
        <v>-70.317388888888885</v>
      </c>
      <c r="N55" s="21"/>
      <c r="O55" s="21"/>
      <c r="P55" s="21"/>
      <c r="Q55" s="21"/>
      <c r="R55" s="21"/>
      <c r="S55" s="21"/>
      <c r="V55" s="20">
        <f t="shared" si="15"/>
        <v>0.71428671428571433</v>
      </c>
      <c r="W55" s="20">
        <f t="shared" si="16"/>
        <v>0.72727272727272718</v>
      </c>
      <c r="X55" s="21">
        <f t="shared" si="17"/>
        <v>1.0909090909090906</v>
      </c>
      <c r="Y55" s="21">
        <f t="shared" si="18"/>
        <v>0.91666666666666685</v>
      </c>
      <c r="Z55" s="21">
        <v>55</v>
      </c>
      <c r="AA55" s="21">
        <f t="shared" si="19"/>
        <v>-58.979520408163268</v>
      </c>
    </row>
    <row r="56" spans="1:27" x14ac:dyDescent="0.25">
      <c r="A56" s="20">
        <f t="shared" si="3"/>
        <v>0.98360755737704919</v>
      </c>
      <c r="B56" s="20">
        <f t="shared" si="0"/>
        <v>1</v>
      </c>
      <c r="C56" s="21">
        <f t="shared" si="1"/>
        <v>1</v>
      </c>
      <c r="D56" s="21">
        <f t="shared" si="4"/>
        <v>1</v>
      </c>
      <c r="E56" s="21">
        <v>60</v>
      </c>
      <c r="F56" s="21">
        <f t="shared" si="5"/>
        <v>-39.742317330210774</v>
      </c>
      <c r="G56" s="21"/>
      <c r="H56" s="20">
        <f t="shared" si="6"/>
        <v>0.54545554545454544</v>
      </c>
      <c r="I56" s="20">
        <f t="shared" si="7"/>
        <v>0.55555555555555558</v>
      </c>
      <c r="J56" s="21">
        <f t="shared" si="8"/>
        <v>1.1111111111111112</v>
      </c>
      <c r="K56" s="21">
        <f t="shared" si="2"/>
        <v>0.89999999999999991</v>
      </c>
      <c r="L56" s="21">
        <v>54</v>
      </c>
      <c r="M56" s="21">
        <f t="shared" si="9"/>
        <v>-71.038889610389617</v>
      </c>
      <c r="N56" s="21"/>
      <c r="O56" s="21"/>
      <c r="P56" s="21"/>
      <c r="Q56" s="21"/>
      <c r="R56" s="21"/>
      <c r="S56" s="21"/>
      <c r="V56" s="20">
        <f t="shared" si="15"/>
        <v>0.70175538596491227</v>
      </c>
      <c r="W56" s="20">
        <f t="shared" si="16"/>
        <v>0.7142857142857143</v>
      </c>
      <c r="X56" s="21">
        <f t="shared" si="17"/>
        <v>1.0714285714285716</v>
      </c>
      <c r="Y56" s="21">
        <f t="shared" si="18"/>
        <v>0.93333333333333324</v>
      </c>
      <c r="Z56" s="21">
        <v>56</v>
      </c>
      <c r="AA56" s="21">
        <f t="shared" si="19"/>
        <v>-59.874615288220554</v>
      </c>
    </row>
    <row r="57" spans="1:27" x14ac:dyDescent="0.25">
      <c r="A57" s="20">
        <f t="shared" si="3"/>
        <v>0.96774293548387103</v>
      </c>
      <c r="B57" s="20">
        <f t="shared" si="0"/>
        <v>0.98360655737704916</v>
      </c>
      <c r="C57" s="21">
        <f t="shared" si="1"/>
        <v>0.98360655737704927</v>
      </c>
      <c r="D57" s="21">
        <f t="shared" si="4"/>
        <v>1.0166666666666666</v>
      </c>
      <c r="E57" s="21">
        <v>61</v>
      </c>
      <c r="F57" s="21">
        <f t="shared" si="5"/>
        <v>-40.875504608294932</v>
      </c>
      <c r="G57" s="21"/>
      <c r="H57" s="20">
        <f t="shared" si="6"/>
        <v>0.53571528571428573</v>
      </c>
      <c r="I57" s="20">
        <f t="shared" si="7"/>
        <v>0.54545454545454541</v>
      </c>
      <c r="J57" s="21">
        <f t="shared" si="8"/>
        <v>1.0909090909090908</v>
      </c>
      <c r="K57" s="21">
        <f t="shared" si="2"/>
        <v>0.91666666666666674</v>
      </c>
      <c r="L57" s="21">
        <v>55</v>
      </c>
      <c r="M57" s="21">
        <f t="shared" si="9"/>
        <v>-71.734622448979607</v>
      </c>
      <c r="N57" s="21"/>
      <c r="O57" s="21"/>
      <c r="P57" s="21"/>
      <c r="Q57" s="21"/>
      <c r="R57" s="21"/>
      <c r="S57" s="21"/>
      <c r="V57" s="20">
        <f t="shared" si="15"/>
        <v>0.68965617241379318</v>
      </c>
      <c r="W57" s="20">
        <f t="shared" si="16"/>
        <v>0.70175438596491224</v>
      </c>
      <c r="X57" s="21">
        <f t="shared" si="17"/>
        <v>1.0526315789473684</v>
      </c>
      <c r="Y57" s="21">
        <f t="shared" si="18"/>
        <v>0.95000000000000007</v>
      </c>
      <c r="Z57" s="21">
        <v>57</v>
      </c>
      <c r="AA57" s="21">
        <f t="shared" si="19"/>
        <v>-60.738844827586206</v>
      </c>
    </row>
    <row r="58" spans="1:27" x14ac:dyDescent="0.25">
      <c r="A58" s="20">
        <f t="shared" si="3"/>
        <v>0.95238195238095236</v>
      </c>
      <c r="B58" s="20">
        <f t="shared" si="0"/>
        <v>0.967741935483871</v>
      </c>
      <c r="C58" s="21">
        <f t="shared" si="1"/>
        <v>0.96774193548387111</v>
      </c>
      <c r="D58" s="21">
        <f t="shared" si="4"/>
        <v>1.0333333333333332</v>
      </c>
      <c r="E58" s="21">
        <v>62</v>
      </c>
      <c r="F58" s="21">
        <f t="shared" si="5"/>
        <v>-41.972717687074834</v>
      </c>
      <c r="G58" s="21"/>
      <c r="H58" s="20">
        <f t="shared" si="6"/>
        <v>0.52631678947368421</v>
      </c>
      <c r="I58" s="20">
        <f t="shared" si="7"/>
        <v>0.5357142857142857</v>
      </c>
      <c r="J58" s="21">
        <f t="shared" si="8"/>
        <v>1.0714285714285714</v>
      </c>
      <c r="K58" s="21">
        <f t="shared" si="2"/>
        <v>0.93333333333333335</v>
      </c>
      <c r="L58" s="21">
        <v>56</v>
      </c>
      <c r="M58" s="21">
        <f t="shared" si="9"/>
        <v>-72.405943609022557</v>
      </c>
      <c r="N58" s="21"/>
      <c r="O58" s="21"/>
      <c r="P58" s="21"/>
      <c r="Q58" s="21"/>
      <c r="R58" s="21"/>
      <c r="S58" s="21"/>
      <c r="V58" s="20">
        <f t="shared" si="15"/>
        <v>0.67796710169491525</v>
      </c>
      <c r="W58" s="20">
        <f t="shared" si="16"/>
        <v>0.68965517241379315</v>
      </c>
      <c r="X58" s="21">
        <f t="shared" si="17"/>
        <v>1.0344827586206897</v>
      </c>
      <c r="Y58" s="21">
        <f t="shared" si="18"/>
        <v>0.96666666666666667</v>
      </c>
      <c r="Z58" s="21">
        <v>58</v>
      </c>
      <c r="AA58" s="21">
        <f t="shared" si="19"/>
        <v>-61.573778450363207</v>
      </c>
    </row>
    <row r="59" spans="1:27" x14ac:dyDescent="0.25">
      <c r="A59" s="20">
        <f t="shared" si="3"/>
        <v>0.93750100000000003</v>
      </c>
      <c r="B59" s="20">
        <f t="shared" si="0"/>
        <v>0.95238095238095233</v>
      </c>
      <c r="C59" s="21">
        <f t="shared" si="1"/>
        <v>0.95238095238095233</v>
      </c>
      <c r="D59" s="21">
        <f t="shared" si="4"/>
        <v>1.05</v>
      </c>
      <c r="E59" s="21">
        <v>63</v>
      </c>
      <c r="F59" s="21">
        <f t="shared" si="5"/>
        <v>-43.035642857142861</v>
      </c>
      <c r="G59" s="21"/>
      <c r="H59" s="20">
        <f t="shared" si="6"/>
        <v>0.51724237931034489</v>
      </c>
      <c r="I59" s="20">
        <f t="shared" si="7"/>
        <v>0.52631578947368418</v>
      </c>
      <c r="J59" s="21">
        <f t="shared" si="8"/>
        <v>1.0526315789473684</v>
      </c>
      <c r="K59" s="21">
        <f t="shared" si="2"/>
        <v>0.95000000000000007</v>
      </c>
      <c r="L59" s="21">
        <v>57</v>
      </c>
      <c r="M59" s="21">
        <f t="shared" si="9"/>
        <v>-73.054115763546804</v>
      </c>
      <c r="N59" s="21"/>
      <c r="O59" s="21"/>
      <c r="P59" s="21"/>
      <c r="Q59" s="21"/>
      <c r="R59" s="21"/>
      <c r="S59" s="21"/>
      <c r="V59" s="20">
        <f t="shared" si="15"/>
        <v>0.66666766666666666</v>
      </c>
      <c r="W59" s="20">
        <f t="shared" si="16"/>
        <v>0.67796610169491522</v>
      </c>
      <c r="X59" s="21">
        <f t="shared" si="17"/>
        <v>1.0169491525423728</v>
      </c>
      <c r="Y59" s="21">
        <f t="shared" si="18"/>
        <v>0.98333333333333339</v>
      </c>
      <c r="Z59" s="21">
        <v>59</v>
      </c>
      <c r="AA59" s="21">
        <f t="shared" si="19"/>
        <v>-62.380880952380956</v>
      </c>
    </row>
    <row r="60" spans="1:27" x14ac:dyDescent="0.25">
      <c r="A60" s="20">
        <f t="shared" si="3"/>
        <v>0.92307792307692316</v>
      </c>
      <c r="B60" s="20">
        <f t="shared" si="0"/>
        <v>0.9375</v>
      </c>
      <c r="C60" s="21">
        <f t="shared" si="1"/>
        <v>0.9375</v>
      </c>
      <c r="D60" s="21">
        <f t="shared" si="4"/>
        <v>1.0666666666666667</v>
      </c>
      <c r="E60" s="21">
        <v>64</v>
      </c>
      <c r="F60" s="21">
        <f t="shared" si="5"/>
        <v>-44.065862637362635</v>
      </c>
      <c r="G60" s="21"/>
      <c r="H60" s="20">
        <f t="shared" si="6"/>
        <v>0.50847557627118645</v>
      </c>
      <c r="I60" s="20">
        <f t="shared" si="7"/>
        <v>0.51724137931034486</v>
      </c>
      <c r="J60" s="21">
        <f t="shared" si="8"/>
        <v>1.0344827586206897</v>
      </c>
      <c r="K60" s="21">
        <f t="shared" si="2"/>
        <v>0.96666666666666656</v>
      </c>
      <c r="L60" s="21">
        <v>58</v>
      </c>
      <c r="M60" s="21">
        <f t="shared" si="9"/>
        <v>-73.680315980629544</v>
      </c>
      <c r="N60" s="21"/>
      <c r="O60" s="21"/>
      <c r="P60" s="21"/>
      <c r="Q60" s="21"/>
      <c r="R60" s="21"/>
      <c r="S60" s="21"/>
      <c r="V60" s="20">
        <f t="shared" si="15"/>
        <v>0.65573870491803277</v>
      </c>
      <c r="W60" s="20">
        <f t="shared" si="16"/>
        <v>0.66666666666666663</v>
      </c>
      <c r="X60" s="21">
        <f t="shared" si="17"/>
        <v>1</v>
      </c>
      <c r="Y60" s="21">
        <f t="shared" si="18"/>
        <v>1</v>
      </c>
      <c r="Z60" s="21">
        <v>60</v>
      </c>
      <c r="AA60" s="21">
        <f t="shared" si="19"/>
        <v>-63.161521077283375</v>
      </c>
    </row>
    <row r="61" spans="1:27" x14ac:dyDescent="0.25">
      <c r="A61" s="20">
        <f t="shared" si="3"/>
        <v>0.90909190909090909</v>
      </c>
      <c r="B61" s="20">
        <f t="shared" si="0"/>
        <v>0.92307692307692313</v>
      </c>
      <c r="C61" s="21">
        <f t="shared" si="1"/>
        <v>0.92307692307692313</v>
      </c>
      <c r="D61" s="21">
        <f t="shared" si="4"/>
        <v>1.0833333333333333</v>
      </c>
      <c r="E61" s="21">
        <v>65</v>
      </c>
      <c r="F61" s="21">
        <f t="shared" si="5"/>
        <v>-45.064863636363647</v>
      </c>
      <c r="G61" s="21"/>
      <c r="H61" s="20">
        <f t="shared" si="6"/>
        <v>0.50000100000000003</v>
      </c>
      <c r="I61" s="20">
        <f t="shared" si="7"/>
        <v>0.50847457627118642</v>
      </c>
      <c r="J61" s="21">
        <f t="shared" si="8"/>
        <v>1.0169491525423728</v>
      </c>
      <c r="K61" s="21">
        <f t="shared" si="2"/>
        <v>0.98333333333333339</v>
      </c>
      <c r="L61" s="21">
        <v>59</v>
      </c>
      <c r="M61" s="21">
        <f t="shared" si="9"/>
        <v>-74.285642857142847</v>
      </c>
      <c r="N61" s="21"/>
      <c r="O61" s="21"/>
      <c r="P61" s="21"/>
      <c r="Q61" s="21"/>
      <c r="R61" s="21"/>
      <c r="S61" s="21"/>
      <c r="V61" s="20">
        <f t="shared" si="15"/>
        <v>0.64516229032258066</v>
      </c>
      <c r="W61" s="20">
        <f t="shared" si="16"/>
        <v>0.65573770491803274</v>
      </c>
      <c r="X61" s="21">
        <f t="shared" si="17"/>
        <v>0.98360655737704905</v>
      </c>
      <c r="Y61" s="21">
        <f t="shared" si="18"/>
        <v>1.0166666666666668</v>
      </c>
      <c r="Z61" s="21">
        <v>61</v>
      </c>
      <c r="AA61" s="21">
        <f t="shared" si="19"/>
        <v>-63.916979262672811</v>
      </c>
    </row>
    <row r="62" spans="1:27" x14ac:dyDescent="0.25">
      <c r="A62" s="20">
        <f t="shared" si="3"/>
        <v>0.89552338805970155</v>
      </c>
      <c r="B62" s="20">
        <f t="shared" si="0"/>
        <v>0.90909090909090906</v>
      </c>
      <c r="C62" s="21">
        <f t="shared" si="1"/>
        <v>0.90909090909090906</v>
      </c>
      <c r="D62" s="21">
        <f t="shared" si="4"/>
        <v>1.1000000000000001</v>
      </c>
      <c r="E62" s="21">
        <v>66</v>
      </c>
      <c r="F62" s="21">
        <f t="shared" si="5"/>
        <v>-46.034043710021322</v>
      </c>
      <c r="G62" s="21"/>
      <c r="H62" s="20">
        <f t="shared" si="6"/>
        <v>0.49180427868852455</v>
      </c>
      <c r="I62" s="20">
        <f t="shared" si="7"/>
        <v>0.5</v>
      </c>
      <c r="J62" s="21">
        <f t="shared" si="8"/>
        <v>1</v>
      </c>
      <c r="K62" s="21">
        <f t="shared" si="2"/>
        <v>1</v>
      </c>
      <c r="L62" s="21">
        <v>60</v>
      </c>
      <c r="M62" s="21">
        <f t="shared" si="9"/>
        <v>-74.871122950819682</v>
      </c>
      <c r="N62" s="21"/>
      <c r="O62" s="21"/>
      <c r="P62" s="21"/>
      <c r="Q62" s="21"/>
      <c r="R62" s="21"/>
      <c r="S62" s="21"/>
      <c r="V62" s="20">
        <f t="shared" si="15"/>
        <v>0.63492163492063491</v>
      </c>
      <c r="W62" s="20">
        <f t="shared" si="16"/>
        <v>0.64516129032258063</v>
      </c>
      <c r="X62" s="21">
        <f t="shared" si="17"/>
        <v>0.96774193548387089</v>
      </c>
      <c r="Y62" s="21">
        <f t="shared" si="18"/>
        <v>1.0333333333333334</v>
      </c>
      <c r="Z62" s="21">
        <v>62</v>
      </c>
      <c r="AA62" s="21">
        <f t="shared" si="19"/>
        <v>-64.648454648526084</v>
      </c>
    </row>
    <row r="63" spans="1:27" x14ac:dyDescent="0.25">
      <c r="A63" s="20">
        <f t="shared" si="3"/>
        <v>0.88235394117647059</v>
      </c>
      <c r="B63" s="20">
        <f t="shared" si="0"/>
        <v>0.89552238805970152</v>
      </c>
      <c r="C63" s="21">
        <f t="shared" si="1"/>
        <v>0.89552238805970152</v>
      </c>
      <c r="D63" s="21">
        <f t="shared" si="4"/>
        <v>1.1166666666666667</v>
      </c>
      <c r="E63" s="21">
        <v>67</v>
      </c>
      <c r="F63" s="21">
        <f t="shared" si="5"/>
        <v>-46.974718487394959</v>
      </c>
      <c r="G63" s="21"/>
      <c r="H63" s="21"/>
      <c r="I63" s="21"/>
      <c r="J63" s="21"/>
      <c r="K63" s="21"/>
      <c r="L63" s="21"/>
      <c r="M63" s="21"/>
      <c r="N63" s="21"/>
      <c r="O63" s="21"/>
      <c r="P63" s="21"/>
      <c r="Q63" s="21"/>
      <c r="R63" s="21"/>
      <c r="S63" s="21"/>
      <c r="V63" s="20">
        <f t="shared" si="15"/>
        <v>0.62500100000000003</v>
      </c>
      <c r="W63" s="20">
        <f t="shared" si="16"/>
        <v>0.63492063492063489</v>
      </c>
      <c r="X63" s="21">
        <f t="shared" si="17"/>
        <v>0.95238095238095233</v>
      </c>
      <c r="Y63" s="21">
        <f t="shared" si="18"/>
        <v>1.05</v>
      </c>
      <c r="Z63" s="21">
        <v>63</v>
      </c>
      <c r="AA63" s="21">
        <f t="shared" si="19"/>
        <v>-65.35707142857143</v>
      </c>
    </row>
    <row r="64" spans="1:27" x14ac:dyDescent="0.25">
      <c r="A64" s="20">
        <f t="shared" si="3"/>
        <v>0.86956621739130435</v>
      </c>
      <c r="B64" s="20">
        <f t="shared" si="0"/>
        <v>0.88235294117647056</v>
      </c>
      <c r="C64" s="21">
        <f t="shared" si="1"/>
        <v>0.88235294117647056</v>
      </c>
      <c r="D64" s="21">
        <f t="shared" si="4"/>
        <v>1.1333333333333333</v>
      </c>
      <c r="E64" s="21">
        <v>68</v>
      </c>
      <c r="F64" s="21">
        <f t="shared" si="5"/>
        <v>-47.888127329192557</v>
      </c>
      <c r="G64" s="21"/>
      <c r="H64" s="21"/>
      <c r="I64" s="21"/>
      <c r="J64" s="21"/>
      <c r="K64" s="21"/>
      <c r="L64" s="21"/>
      <c r="M64" s="21"/>
      <c r="N64" s="21"/>
      <c r="O64" s="21"/>
      <c r="P64" s="21"/>
      <c r="Q64" s="21"/>
      <c r="R64" s="21"/>
      <c r="S64" s="21"/>
      <c r="V64" s="20">
        <f t="shared" si="15"/>
        <v>0.61538561538461545</v>
      </c>
      <c r="W64" s="20">
        <f t="shared" si="16"/>
        <v>0.625</v>
      </c>
      <c r="X64" s="21">
        <f t="shared" si="17"/>
        <v>0.9375</v>
      </c>
      <c r="Y64" s="21">
        <f t="shared" si="18"/>
        <v>1.0666666666666667</v>
      </c>
      <c r="Z64" s="21">
        <v>64</v>
      </c>
      <c r="AA64" s="21">
        <f t="shared" si="19"/>
        <v>-66.043884615384613</v>
      </c>
    </row>
    <row r="65" spans="1:27" x14ac:dyDescent="0.25">
      <c r="A65" s="20">
        <f t="shared" si="3"/>
        <v>0.85714385714285712</v>
      </c>
      <c r="B65" s="20">
        <f t="shared" si="0"/>
        <v>0.86956521739130432</v>
      </c>
      <c r="C65" s="21">
        <f t="shared" si="1"/>
        <v>0.86956521739130421</v>
      </c>
      <c r="D65" s="21">
        <f t="shared" si="4"/>
        <v>1.1500000000000001</v>
      </c>
      <c r="E65" s="21">
        <v>69</v>
      </c>
      <c r="F65" s="21">
        <f t="shared" si="5"/>
        <v>-48.77543877551021</v>
      </c>
      <c r="G65" s="21"/>
      <c r="H65" s="21"/>
      <c r="I65" s="21"/>
      <c r="J65" s="21"/>
      <c r="K65" s="21"/>
      <c r="L65" s="21"/>
      <c r="M65" s="21"/>
      <c r="N65" s="21"/>
      <c r="O65" s="21"/>
      <c r="P65" s="21"/>
      <c r="Q65" s="21"/>
      <c r="R65" s="21"/>
      <c r="S65" s="21"/>
      <c r="V65" s="20">
        <f t="shared" si="15"/>
        <v>0.60606160606060611</v>
      </c>
      <c r="W65" s="20">
        <f t="shared" si="16"/>
        <v>0.61538461538461542</v>
      </c>
      <c r="X65" s="21">
        <f t="shared" si="17"/>
        <v>0.92307692307692313</v>
      </c>
      <c r="Y65" s="21">
        <f t="shared" si="18"/>
        <v>1.0833333333333333</v>
      </c>
      <c r="Z65" s="21">
        <v>65</v>
      </c>
      <c r="AA65" s="21">
        <f t="shared" si="19"/>
        <v>-66.709885281385283</v>
      </c>
    </row>
    <row r="66" spans="1:27" x14ac:dyDescent="0.25">
      <c r="A66" s="20">
        <f t="shared" si="3"/>
        <v>0.84507142253521128</v>
      </c>
      <c r="B66" s="20">
        <f t="shared" si="0"/>
        <v>0.8571428571428571</v>
      </c>
      <c r="C66" s="21">
        <f t="shared" si="1"/>
        <v>0.8571428571428571</v>
      </c>
      <c r="D66" s="21">
        <f t="shared" si="4"/>
        <v>1.1666666666666667</v>
      </c>
      <c r="E66" s="21">
        <v>70</v>
      </c>
      <c r="F66" s="21">
        <f t="shared" si="5"/>
        <v>-49.637755533199204</v>
      </c>
      <c r="G66" s="21"/>
      <c r="H66" s="21"/>
      <c r="I66" s="21"/>
      <c r="J66" s="21"/>
      <c r="K66" s="21"/>
      <c r="L66" s="21"/>
      <c r="M66" s="21"/>
      <c r="N66" s="21"/>
      <c r="O66" s="21"/>
      <c r="P66" s="21"/>
      <c r="Q66" s="21"/>
      <c r="R66" s="21"/>
      <c r="S66" s="21"/>
      <c r="V66" s="20">
        <f t="shared" si="15"/>
        <v>0.59701592537313442</v>
      </c>
      <c r="W66" s="20">
        <f t="shared" si="16"/>
        <v>0.60606060606060608</v>
      </c>
      <c r="X66" s="21">
        <f t="shared" si="17"/>
        <v>0.90909090909090917</v>
      </c>
      <c r="Y66" s="21">
        <f t="shared" si="18"/>
        <v>1.0999999999999999</v>
      </c>
      <c r="Z66" s="21">
        <v>66</v>
      </c>
      <c r="AA66" s="21">
        <f t="shared" si="19"/>
        <v>-67.356005330490405</v>
      </c>
    </row>
    <row r="67" spans="1:27" x14ac:dyDescent="0.25">
      <c r="A67" s="20">
        <f t="shared" si="3"/>
        <v>0.8333343333333334</v>
      </c>
      <c r="B67" s="20">
        <f t="shared" si="0"/>
        <v>0.84507042253521125</v>
      </c>
      <c r="C67" s="21">
        <f t="shared" si="1"/>
        <v>0.84507042253521125</v>
      </c>
      <c r="D67" s="21">
        <f t="shared" si="4"/>
        <v>1.1833333333333333</v>
      </c>
      <c r="E67" s="21">
        <v>71</v>
      </c>
      <c r="F67" s="21">
        <f t="shared" si="5"/>
        <v>-50.476119047619051</v>
      </c>
      <c r="G67" s="21"/>
      <c r="H67" s="21"/>
      <c r="I67" s="21"/>
      <c r="J67" s="21"/>
      <c r="K67" s="21"/>
      <c r="L67" s="21"/>
      <c r="M67" s="21"/>
      <c r="N67" s="21"/>
      <c r="O67" s="21"/>
      <c r="P67" s="21"/>
      <c r="Q67" s="21"/>
      <c r="R67" s="21"/>
      <c r="S67" s="21"/>
      <c r="V67" s="20">
        <f t="shared" si="15"/>
        <v>0.58823629411764711</v>
      </c>
      <c r="W67" s="20">
        <f t="shared" si="16"/>
        <v>0.59701492537313439</v>
      </c>
      <c r="X67" s="21">
        <f t="shared" si="17"/>
        <v>0.89552238805970164</v>
      </c>
      <c r="Y67" s="21">
        <f t="shared" si="18"/>
        <v>1.1166666666666665</v>
      </c>
      <c r="Z67" s="21">
        <v>67</v>
      </c>
      <c r="AA67" s="21">
        <f t="shared" si="19"/>
        <v>-67.983121848739501</v>
      </c>
    </row>
    <row r="68" spans="1:27" x14ac:dyDescent="0.25">
      <c r="A68" s="20">
        <f t="shared" si="3"/>
        <v>0.82191880821917807</v>
      </c>
      <c r="B68" s="20">
        <f t="shared" si="0"/>
        <v>0.83333333333333337</v>
      </c>
      <c r="C68" s="21">
        <f t="shared" si="1"/>
        <v>0.83333333333333337</v>
      </c>
      <c r="D68" s="21">
        <f t="shared" si="4"/>
        <v>1.2</v>
      </c>
      <c r="E68" s="21">
        <v>72</v>
      </c>
      <c r="F68" s="21">
        <f t="shared" si="5"/>
        <v>-51.291513698630141</v>
      </c>
      <c r="G68" s="21"/>
      <c r="H68" s="21"/>
      <c r="I68" s="21"/>
      <c r="J68" s="21"/>
      <c r="K68" s="21"/>
      <c r="L68" s="21"/>
      <c r="M68" s="21"/>
      <c r="N68" s="21"/>
      <c r="O68" s="21"/>
      <c r="P68" s="21"/>
      <c r="Q68" s="21"/>
      <c r="R68" s="21"/>
      <c r="S68" s="21"/>
      <c r="V68" s="20">
        <f t="shared" si="15"/>
        <v>0.57971114492753628</v>
      </c>
      <c r="W68" s="20">
        <f t="shared" si="16"/>
        <v>0.58823529411764708</v>
      </c>
      <c r="X68" s="21">
        <f t="shared" si="17"/>
        <v>0.88235294117647056</v>
      </c>
      <c r="Y68" s="21">
        <f t="shared" si="18"/>
        <v>1.1333333333333333</v>
      </c>
      <c r="Z68" s="21">
        <v>68</v>
      </c>
      <c r="AA68" s="21">
        <f t="shared" si="19"/>
        <v>-68.592061076604566</v>
      </c>
    </row>
    <row r="69" spans="1:27" x14ac:dyDescent="0.25">
      <c r="A69" s="20">
        <f t="shared" si="3"/>
        <v>0.81081181081081088</v>
      </c>
      <c r="B69" s="20">
        <f t="shared" si="0"/>
        <v>0.82191780821917804</v>
      </c>
      <c r="C69" s="21">
        <f t="shared" si="1"/>
        <v>0.82191780821917804</v>
      </c>
      <c r="D69" s="21">
        <f t="shared" si="4"/>
        <v>1.2166666666666668</v>
      </c>
      <c r="E69" s="21">
        <v>73</v>
      </c>
      <c r="F69" s="21">
        <f t="shared" si="5"/>
        <v>-52.084870656370654</v>
      </c>
      <c r="G69" s="21"/>
      <c r="H69" s="21"/>
      <c r="I69" s="21"/>
      <c r="J69" s="21"/>
      <c r="K69" s="21"/>
      <c r="L69" s="21"/>
      <c r="M69" s="21"/>
      <c r="N69" s="21"/>
      <c r="O69" s="21"/>
      <c r="P69" s="21"/>
      <c r="Q69" s="21"/>
      <c r="R69" s="21"/>
      <c r="S69" s="21"/>
      <c r="V69" s="20">
        <f t="shared" si="15"/>
        <v>0.57142957142857143</v>
      </c>
      <c r="W69" s="20">
        <f t="shared" si="16"/>
        <v>0.57971014492753625</v>
      </c>
      <c r="X69" s="21">
        <f t="shared" si="17"/>
        <v>0.86956521739130443</v>
      </c>
      <c r="Y69" s="21">
        <f t="shared" si="18"/>
        <v>1.1499999999999999</v>
      </c>
      <c r="Z69" s="21">
        <v>69</v>
      </c>
      <c r="AA69" s="21">
        <f t="shared" si="19"/>
        <v>-69.183602040816339</v>
      </c>
    </row>
    <row r="70" spans="1:27" x14ac:dyDescent="0.25">
      <c r="A70" s="20">
        <f t="shared" si="3"/>
        <v>0.80000100000000007</v>
      </c>
      <c r="B70" s="20">
        <f t="shared" si="0"/>
        <v>0.81081081081081086</v>
      </c>
      <c r="C70" s="21">
        <f t="shared" si="1"/>
        <v>0.81081081081081097</v>
      </c>
      <c r="D70" s="21">
        <f t="shared" si="4"/>
        <v>1.2333333333333332</v>
      </c>
      <c r="E70" s="21">
        <v>74</v>
      </c>
      <c r="F70" s="21">
        <f t="shared" si="5"/>
        <v>-52.85707142857143</v>
      </c>
      <c r="G70" s="21"/>
      <c r="H70" s="21"/>
      <c r="I70" s="21"/>
      <c r="J70" s="21"/>
      <c r="K70" s="21"/>
      <c r="L70" s="21"/>
      <c r="M70" s="21"/>
      <c r="N70" s="21"/>
      <c r="O70" s="21"/>
      <c r="P70" s="21"/>
      <c r="Q70" s="21"/>
      <c r="R70" s="21"/>
      <c r="S70" s="21"/>
      <c r="V70" s="20">
        <f t="shared" si="15"/>
        <v>0.5633812816901409</v>
      </c>
      <c r="W70" s="20">
        <f t="shared" si="16"/>
        <v>0.5714285714285714</v>
      </c>
      <c r="X70" s="21">
        <f t="shared" si="17"/>
        <v>0.8571428571428571</v>
      </c>
      <c r="Y70" s="21">
        <f t="shared" si="18"/>
        <v>1.1666666666666667</v>
      </c>
      <c r="Z70" s="21">
        <v>70</v>
      </c>
      <c r="AA70" s="21">
        <f t="shared" si="19"/>
        <v>-69.758479879275654</v>
      </c>
    </row>
    <row r="71" spans="1:27" x14ac:dyDescent="0.25">
      <c r="A71" s="20">
        <f t="shared" si="3"/>
        <v>0.78947468421052636</v>
      </c>
      <c r="B71" s="20">
        <f t="shared" si="0"/>
        <v>0.8</v>
      </c>
      <c r="C71" s="21">
        <f t="shared" si="1"/>
        <v>0.8</v>
      </c>
      <c r="D71" s="21">
        <f t="shared" si="4"/>
        <v>1.25</v>
      </c>
      <c r="E71" s="21">
        <v>75</v>
      </c>
      <c r="F71" s="21">
        <f t="shared" si="5"/>
        <v>-53.608951127819552</v>
      </c>
      <c r="G71" s="21"/>
      <c r="H71" s="21"/>
      <c r="I71" s="21"/>
      <c r="J71" s="21"/>
      <c r="K71" s="21"/>
      <c r="L71" s="21"/>
      <c r="M71" s="21"/>
      <c r="N71" s="21"/>
      <c r="O71" s="21"/>
      <c r="P71" s="21"/>
      <c r="Q71" s="21"/>
      <c r="R71" s="21"/>
      <c r="S71" s="21"/>
      <c r="V71" s="20">
        <f t="shared" si="15"/>
        <v>0.55555655555555561</v>
      </c>
      <c r="W71" s="20">
        <f t="shared" si="16"/>
        <v>0.56338028169014087</v>
      </c>
      <c r="X71" s="21">
        <f t="shared" si="17"/>
        <v>0.84507042253521125</v>
      </c>
      <c r="Y71" s="21">
        <f t="shared" si="18"/>
        <v>1.1833333333333333</v>
      </c>
      <c r="Z71" s="21">
        <v>71</v>
      </c>
      <c r="AA71" s="21">
        <f t="shared" si="19"/>
        <v>-70.317388888888885</v>
      </c>
    </row>
    <row r="72" spans="1:27" x14ac:dyDescent="0.25">
      <c r="A72" s="20">
        <f t="shared" si="3"/>
        <v>0.77922177922077929</v>
      </c>
      <c r="B72" s="20">
        <f t="shared" ref="B72:B116" si="20">60/E72</f>
        <v>0.78947368421052633</v>
      </c>
      <c r="C72" s="21">
        <f t="shared" ref="C72:C116" si="21">1/D72</f>
        <v>0.78947368421052633</v>
      </c>
      <c r="D72" s="21">
        <f t="shared" si="4"/>
        <v>1.2666666666666666</v>
      </c>
      <c r="E72" s="21">
        <v>76</v>
      </c>
      <c r="F72" s="21">
        <f t="shared" si="5"/>
        <v>-54.341301484230051</v>
      </c>
      <c r="G72" s="21"/>
      <c r="H72" s="21"/>
      <c r="I72" s="21"/>
      <c r="J72" s="21"/>
      <c r="K72" s="21"/>
      <c r="L72" s="21"/>
      <c r="M72" s="21"/>
      <c r="N72" s="21"/>
      <c r="O72" s="21"/>
      <c r="P72" s="21"/>
      <c r="Q72" s="21"/>
      <c r="R72" s="21"/>
      <c r="S72" s="21"/>
      <c r="V72" s="20">
        <f t="shared" si="15"/>
        <v>0.54794620547945205</v>
      </c>
      <c r="W72" s="20">
        <f t="shared" si="16"/>
        <v>0.55555555555555558</v>
      </c>
      <c r="X72" s="21">
        <f t="shared" si="17"/>
        <v>0.83333333333333337</v>
      </c>
      <c r="Y72" s="21">
        <f t="shared" si="18"/>
        <v>1.2</v>
      </c>
      <c r="Z72" s="21">
        <v>72</v>
      </c>
      <c r="AA72" s="21">
        <f t="shared" si="19"/>
        <v>-70.860985322896283</v>
      </c>
    </row>
    <row r="73" spans="1:27" x14ac:dyDescent="0.25">
      <c r="A73" s="20">
        <f t="shared" ref="A73:A116" si="22">60/(E73+1)+0.000001</f>
        <v>0.7692317692307693</v>
      </c>
      <c r="B73" s="20">
        <f t="shared" si="20"/>
        <v>0.77922077922077926</v>
      </c>
      <c r="C73" s="21">
        <f t="shared" si="21"/>
        <v>0.77922077922077926</v>
      </c>
      <c r="D73" s="21">
        <f t="shared" ref="D73:D116" si="23">1/B73</f>
        <v>1.2833333333333332</v>
      </c>
      <c r="E73" s="21">
        <v>77</v>
      </c>
      <c r="F73" s="21">
        <f t="shared" ref="F73:F116" si="24">(A73-$C$4)/$C$2*100</f>
        <v>-55.05487362637362</v>
      </c>
      <c r="G73" s="21"/>
      <c r="H73" s="21"/>
      <c r="I73" s="21"/>
      <c r="J73" s="21"/>
      <c r="K73" s="21"/>
      <c r="L73" s="21"/>
      <c r="M73" s="21"/>
      <c r="N73" s="21"/>
      <c r="O73" s="21"/>
      <c r="P73" s="21"/>
      <c r="Q73" s="21"/>
      <c r="R73" s="21"/>
      <c r="S73" s="21"/>
      <c r="V73" s="20">
        <f t="shared" ref="V73:V80" si="25">60/(Z73+1)/1.5+0.000001</f>
        <v>0.5405415405405406</v>
      </c>
      <c r="W73" s="20">
        <f t="shared" ref="W73:W80" si="26">60/Z73/1.5</f>
        <v>0.54794520547945202</v>
      </c>
      <c r="X73" s="21">
        <f t="shared" ref="X73:X80" si="27">1/Y73</f>
        <v>0.82191780821917804</v>
      </c>
      <c r="Y73" s="21">
        <f t="shared" ref="Y73:Y80" si="28">1/W73/1.5</f>
        <v>1.2166666666666668</v>
      </c>
      <c r="Z73" s="21">
        <v>73</v>
      </c>
      <c r="AA73" s="21">
        <f t="shared" ref="AA73:AA80" si="29">(V73-$C$4)/$C$2*100</f>
        <v>-71.389889961389969</v>
      </c>
    </row>
    <row r="74" spans="1:27" x14ac:dyDescent="0.25">
      <c r="A74" s="20">
        <f t="shared" si="22"/>
        <v>0.75949467088607603</v>
      </c>
      <c r="B74" s="20">
        <f t="shared" si="20"/>
        <v>0.76923076923076927</v>
      </c>
      <c r="C74" s="21">
        <f t="shared" si="21"/>
        <v>0.76923076923076938</v>
      </c>
      <c r="D74" s="21">
        <f t="shared" si="23"/>
        <v>1.2999999999999998</v>
      </c>
      <c r="E74" s="21">
        <v>78</v>
      </c>
      <c r="F74" s="21">
        <f t="shared" si="24"/>
        <v>-55.750380650994579</v>
      </c>
      <c r="G74" s="21"/>
      <c r="H74" s="21"/>
      <c r="I74" s="21"/>
      <c r="J74" s="21"/>
      <c r="K74" s="21"/>
      <c r="L74" s="21"/>
      <c r="M74" s="21"/>
      <c r="N74" s="21"/>
      <c r="O74" s="21"/>
      <c r="P74" s="21"/>
      <c r="Q74" s="21"/>
      <c r="R74" s="21"/>
      <c r="S74" s="21"/>
      <c r="V74" s="20">
        <f t="shared" si="25"/>
        <v>0.53333433333333335</v>
      </c>
      <c r="W74" s="20">
        <f t="shared" si="26"/>
        <v>0.54054054054054057</v>
      </c>
      <c r="X74" s="21">
        <f t="shared" si="27"/>
        <v>0.81081081081081097</v>
      </c>
      <c r="Y74" s="21">
        <f t="shared" si="28"/>
        <v>1.2333333333333332</v>
      </c>
      <c r="Z74" s="21">
        <v>74</v>
      </c>
      <c r="AA74" s="21">
        <f t="shared" si="29"/>
        <v>-71.904690476190481</v>
      </c>
    </row>
    <row r="75" spans="1:27" x14ac:dyDescent="0.25">
      <c r="A75" s="20">
        <f t="shared" si="22"/>
        <v>0.75000100000000003</v>
      </c>
      <c r="B75" s="20">
        <f t="shared" si="20"/>
        <v>0.759493670886076</v>
      </c>
      <c r="C75" s="21">
        <f t="shared" si="21"/>
        <v>0.759493670886076</v>
      </c>
      <c r="D75" s="21">
        <f t="shared" si="23"/>
        <v>1.3166666666666667</v>
      </c>
      <c r="E75" s="21">
        <v>79</v>
      </c>
      <c r="F75" s="21">
        <f t="shared" si="24"/>
        <v>-56.428500000000007</v>
      </c>
      <c r="G75" s="21"/>
      <c r="H75" s="21"/>
      <c r="I75" s="21"/>
      <c r="J75" s="21"/>
      <c r="K75" s="21"/>
      <c r="L75" s="21"/>
      <c r="M75" s="21"/>
      <c r="N75" s="21"/>
      <c r="O75" s="21"/>
      <c r="P75" s="21"/>
      <c r="Q75" s="21"/>
      <c r="R75" s="21"/>
      <c r="S75" s="21"/>
      <c r="V75" s="20">
        <f t="shared" si="25"/>
        <v>0.52631678947368421</v>
      </c>
      <c r="W75" s="20">
        <f t="shared" si="26"/>
        <v>0.53333333333333333</v>
      </c>
      <c r="X75" s="21">
        <f t="shared" si="27"/>
        <v>0.8</v>
      </c>
      <c r="Y75" s="21">
        <f t="shared" si="28"/>
        <v>1.25</v>
      </c>
      <c r="Z75" s="21">
        <v>75</v>
      </c>
      <c r="AA75" s="21">
        <f t="shared" si="29"/>
        <v>-72.405943609022557</v>
      </c>
    </row>
    <row r="76" spans="1:27" x14ac:dyDescent="0.25">
      <c r="A76" s="20">
        <f t="shared" si="22"/>
        <v>0.74074174074074073</v>
      </c>
      <c r="B76" s="20">
        <f t="shared" si="20"/>
        <v>0.75</v>
      </c>
      <c r="C76" s="21">
        <f t="shared" si="21"/>
        <v>0.75</v>
      </c>
      <c r="D76" s="21">
        <f t="shared" si="23"/>
        <v>1.3333333333333333</v>
      </c>
      <c r="E76" s="21">
        <v>80</v>
      </c>
      <c r="F76" s="21">
        <f t="shared" si="24"/>
        <v>-57.089875661375665</v>
      </c>
      <c r="G76" s="21"/>
      <c r="H76" s="21"/>
      <c r="I76" s="21"/>
      <c r="J76" s="21"/>
      <c r="K76" s="21"/>
      <c r="L76" s="21"/>
      <c r="M76" s="21"/>
      <c r="N76" s="21"/>
      <c r="O76" s="21"/>
      <c r="P76" s="21"/>
      <c r="Q76" s="21"/>
      <c r="R76" s="21"/>
      <c r="S76" s="21"/>
      <c r="V76" s="20">
        <f t="shared" si="25"/>
        <v>0.51948151948051957</v>
      </c>
      <c r="W76" s="20">
        <f t="shared" si="26"/>
        <v>0.52631578947368418</v>
      </c>
      <c r="X76" s="21">
        <f t="shared" si="27"/>
        <v>0.78947368421052622</v>
      </c>
      <c r="Y76" s="21">
        <f t="shared" si="28"/>
        <v>1.2666666666666668</v>
      </c>
      <c r="Z76" s="21">
        <v>76</v>
      </c>
      <c r="AA76" s="21">
        <f t="shared" si="29"/>
        <v>-72.894177179962895</v>
      </c>
    </row>
    <row r="77" spans="1:27" x14ac:dyDescent="0.25">
      <c r="A77" s="20">
        <f t="shared" si="22"/>
        <v>0.73170831707317074</v>
      </c>
      <c r="B77" s="20">
        <f t="shared" si="20"/>
        <v>0.7407407407407407</v>
      </c>
      <c r="C77" s="21">
        <f t="shared" si="21"/>
        <v>0.7407407407407407</v>
      </c>
      <c r="D77" s="21">
        <f t="shared" si="23"/>
        <v>1.35</v>
      </c>
      <c r="E77" s="21">
        <v>81</v>
      </c>
      <c r="F77" s="21">
        <f t="shared" si="24"/>
        <v>-57.735120209059247</v>
      </c>
      <c r="G77" s="21"/>
      <c r="H77" s="21"/>
      <c r="I77" s="21"/>
      <c r="J77" s="21"/>
      <c r="K77" s="21"/>
      <c r="L77" s="21"/>
      <c r="M77" s="21"/>
      <c r="N77" s="21"/>
      <c r="O77" s="21"/>
      <c r="P77" s="21"/>
      <c r="Q77" s="21"/>
      <c r="R77" s="21"/>
      <c r="S77" s="21"/>
      <c r="V77" s="20">
        <f t="shared" si="25"/>
        <v>0.51282151282051291</v>
      </c>
      <c r="W77" s="20">
        <f t="shared" si="26"/>
        <v>0.51948051948051954</v>
      </c>
      <c r="X77" s="21">
        <f t="shared" si="27"/>
        <v>0.77922077922077926</v>
      </c>
      <c r="Y77" s="21">
        <f t="shared" si="28"/>
        <v>1.2833333333333332</v>
      </c>
      <c r="Z77" s="21">
        <v>77</v>
      </c>
      <c r="AA77" s="21">
        <f t="shared" si="29"/>
        <v>-73.369891941391941</v>
      </c>
    </row>
    <row r="78" spans="1:27" x14ac:dyDescent="0.25">
      <c r="A78" s="20">
        <f t="shared" si="22"/>
        <v>0.72289256626506027</v>
      </c>
      <c r="B78" s="20">
        <f t="shared" si="20"/>
        <v>0.73170731707317072</v>
      </c>
      <c r="C78" s="21">
        <f t="shared" si="21"/>
        <v>0.73170731707317072</v>
      </c>
      <c r="D78" s="21">
        <f t="shared" si="23"/>
        <v>1.3666666666666667</v>
      </c>
      <c r="E78" s="21">
        <v>82</v>
      </c>
      <c r="F78" s="21">
        <f t="shared" si="24"/>
        <v>-58.364816695352836</v>
      </c>
      <c r="G78" s="21"/>
      <c r="H78" s="21"/>
      <c r="I78" s="21"/>
      <c r="J78" s="21"/>
      <c r="K78" s="21"/>
      <c r="L78" s="21"/>
      <c r="M78" s="21"/>
      <c r="N78" s="21"/>
      <c r="O78" s="21"/>
      <c r="P78" s="21"/>
      <c r="Q78" s="21"/>
      <c r="R78" s="21"/>
      <c r="S78" s="21"/>
      <c r="V78" s="20">
        <f t="shared" si="25"/>
        <v>0.5063301139240507</v>
      </c>
      <c r="W78" s="20">
        <f t="shared" si="26"/>
        <v>0.51282051282051289</v>
      </c>
      <c r="X78" s="21">
        <f t="shared" si="27"/>
        <v>0.76923076923076938</v>
      </c>
      <c r="Y78" s="21">
        <f t="shared" si="28"/>
        <v>1.2999999999999998</v>
      </c>
      <c r="Z78" s="21">
        <v>78</v>
      </c>
      <c r="AA78" s="21">
        <f t="shared" si="29"/>
        <v>-73.833563291139242</v>
      </c>
    </row>
    <row r="79" spans="1:27" x14ac:dyDescent="0.25">
      <c r="A79" s="20">
        <f t="shared" si="22"/>
        <v>0.71428671428571433</v>
      </c>
      <c r="B79" s="20">
        <f t="shared" si="20"/>
        <v>0.72289156626506024</v>
      </c>
      <c r="C79" s="21">
        <f t="shared" si="21"/>
        <v>0.72289156626506024</v>
      </c>
      <c r="D79" s="21">
        <f t="shared" si="23"/>
        <v>1.3833333333333333</v>
      </c>
      <c r="E79" s="21">
        <v>83</v>
      </c>
      <c r="F79" s="21">
        <f t="shared" si="24"/>
        <v>-58.979520408163268</v>
      </c>
      <c r="G79" s="21"/>
      <c r="H79" s="21"/>
      <c r="I79" s="21"/>
      <c r="J79" s="21"/>
      <c r="K79" s="21"/>
      <c r="L79" s="21"/>
      <c r="M79" s="21"/>
      <c r="N79" s="21"/>
      <c r="O79" s="21"/>
      <c r="P79" s="21"/>
      <c r="Q79" s="21"/>
      <c r="R79" s="21"/>
      <c r="S79" s="21"/>
      <c r="V79" s="20">
        <f t="shared" si="25"/>
        <v>0.50000100000000003</v>
      </c>
      <c r="W79" s="20">
        <f t="shared" si="26"/>
        <v>0.50632911392405067</v>
      </c>
      <c r="X79" s="21">
        <f t="shared" si="27"/>
        <v>0.759493670886076</v>
      </c>
      <c r="Y79" s="21">
        <f t="shared" si="28"/>
        <v>1.3166666666666667</v>
      </c>
      <c r="Z79" s="21">
        <v>79</v>
      </c>
      <c r="AA79" s="21">
        <f t="shared" si="29"/>
        <v>-74.285642857142847</v>
      </c>
    </row>
    <row r="80" spans="1:27" x14ac:dyDescent="0.25">
      <c r="A80" s="20">
        <f t="shared" si="22"/>
        <v>0.70588335294117655</v>
      </c>
      <c r="B80" s="20">
        <f t="shared" si="20"/>
        <v>0.7142857142857143</v>
      </c>
      <c r="C80" s="21">
        <f t="shared" si="21"/>
        <v>0.7142857142857143</v>
      </c>
      <c r="D80" s="21">
        <f t="shared" si="23"/>
        <v>1.4</v>
      </c>
      <c r="E80" s="21">
        <v>84</v>
      </c>
      <c r="F80" s="21">
        <f t="shared" si="24"/>
        <v>-59.579760504201687</v>
      </c>
      <c r="G80" s="21"/>
      <c r="H80" s="21"/>
      <c r="I80" s="21"/>
      <c r="J80" s="21"/>
      <c r="K80" s="21"/>
      <c r="L80" s="21"/>
      <c r="M80" s="21"/>
      <c r="N80" s="21"/>
      <c r="O80" s="21"/>
      <c r="P80" s="21"/>
      <c r="Q80" s="21"/>
      <c r="R80" s="21"/>
      <c r="S80" s="21"/>
      <c r="V80" s="20">
        <f t="shared" si="25"/>
        <v>0.49382816049382711</v>
      </c>
      <c r="W80" s="20">
        <f t="shared" si="26"/>
        <v>0.5</v>
      </c>
      <c r="X80" s="21">
        <f t="shared" si="27"/>
        <v>0.75</v>
      </c>
      <c r="Y80" s="21">
        <f t="shared" si="28"/>
        <v>1.3333333333333333</v>
      </c>
      <c r="Z80" s="21">
        <v>80</v>
      </c>
      <c r="AA80" s="21">
        <f t="shared" si="29"/>
        <v>-74.726559964726647</v>
      </c>
    </row>
    <row r="81" spans="1:19" x14ac:dyDescent="0.25">
      <c r="A81" s="20">
        <f t="shared" si="22"/>
        <v>0.69767541860465121</v>
      </c>
      <c r="B81" s="20">
        <f t="shared" si="20"/>
        <v>0.70588235294117652</v>
      </c>
      <c r="C81" s="21">
        <f t="shared" si="21"/>
        <v>0.70588235294117652</v>
      </c>
      <c r="D81" s="21">
        <f t="shared" si="23"/>
        <v>1.4166666666666665</v>
      </c>
      <c r="E81" s="21">
        <v>85</v>
      </c>
      <c r="F81" s="21">
        <f t="shared" si="24"/>
        <v>-60.166041528239198</v>
      </c>
      <c r="G81" s="21"/>
      <c r="H81" s="21"/>
      <c r="I81" s="21"/>
      <c r="J81" s="21"/>
      <c r="K81" s="21"/>
      <c r="L81" s="21"/>
      <c r="M81" s="21"/>
      <c r="N81" s="21"/>
      <c r="O81" s="21"/>
      <c r="P81" s="21"/>
      <c r="Q81" s="21"/>
      <c r="R81" s="21"/>
      <c r="S81" s="21"/>
    </row>
    <row r="82" spans="1:19" x14ac:dyDescent="0.25">
      <c r="A82" s="20">
        <f t="shared" si="22"/>
        <v>0.68965617241379318</v>
      </c>
      <c r="B82" s="20">
        <f t="shared" si="20"/>
        <v>0.69767441860465118</v>
      </c>
      <c r="C82" s="21">
        <f t="shared" si="21"/>
        <v>0.69767441860465118</v>
      </c>
      <c r="D82" s="21">
        <f t="shared" si="23"/>
        <v>1.4333333333333333</v>
      </c>
      <c r="E82" s="21">
        <v>86</v>
      </c>
      <c r="F82" s="21">
        <f t="shared" si="24"/>
        <v>-60.738844827586206</v>
      </c>
      <c r="G82" s="21"/>
      <c r="H82" s="21"/>
      <c r="I82" s="21"/>
      <c r="J82" s="21"/>
      <c r="K82" s="21"/>
      <c r="L82" s="21"/>
      <c r="M82" s="21"/>
      <c r="N82" s="21"/>
      <c r="O82" s="21"/>
      <c r="P82" s="21"/>
      <c r="Q82" s="21"/>
      <c r="R82" s="21"/>
      <c r="S82" s="21"/>
    </row>
    <row r="83" spans="1:19" x14ac:dyDescent="0.25">
      <c r="A83" s="20">
        <f t="shared" si="22"/>
        <v>0.6818191818181818</v>
      </c>
      <c r="B83" s="20">
        <f t="shared" si="20"/>
        <v>0.68965517241379315</v>
      </c>
      <c r="C83" s="21">
        <f t="shared" si="21"/>
        <v>0.68965517241379315</v>
      </c>
      <c r="D83" s="21">
        <f t="shared" si="23"/>
        <v>1.45</v>
      </c>
      <c r="E83" s="21">
        <v>87</v>
      </c>
      <c r="F83" s="21">
        <f t="shared" si="24"/>
        <v>-61.298629870129872</v>
      </c>
      <c r="G83" s="21"/>
      <c r="H83" s="21"/>
      <c r="I83" s="21"/>
      <c r="J83" s="21"/>
      <c r="K83" s="21"/>
      <c r="L83" s="270"/>
      <c r="M83" s="21"/>
      <c r="N83" s="21"/>
      <c r="O83" s="21"/>
      <c r="P83" s="21"/>
      <c r="Q83" s="21"/>
      <c r="R83" s="21"/>
      <c r="S83" s="21"/>
    </row>
    <row r="84" spans="1:19" x14ac:dyDescent="0.25">
      <c r="A84" s="20">
        <f t="shared" si="22"/>
        <v>0.67415830337078653</v>
      </c>
      <c r="B84" s="20">
        <f t="shared" si="20"/>
        <v>0.68181818181818177</v>
      </c>
      <c r="C84" s="21">
        <f t="shared" si="21"/>
        <v>0.68181818181818177</v>
      </c>
      <c r="D84" s="21">
        <f t="shared" si="23"/>
        <v>1.4666666666666668</v>
      </c>
      <c r="E84" s="21">
        <v>88</v>
      </c>
      <c r="F84" s="21">
        <f t="shared" si="24"/>
        <v>-61.845835473515251</v>
      </c>
      <c r="G84" s="21"/>
      <c r="H84" s="21"/>
      <c r="I84" s="21"/>
      <c r="J84" s="21"/>
      <c r="K84" s="21"/>
      <c r="L84" s="21"/>
      <c r="M84" s="21"/>
      <c r="N84" s="21"/>
      <c r="O84" s="21"/>
      <c r="P84" s="21"/>
      <c r="Q84" s="21"/>
      <c r="R84" s="21"/>
      <c r="S84" s="21"/>
    </row>
    <row r="85" spans="1:19" x14ac:dyDescent="0.25">
      <c r="A85" s="20">
        <f t="shared" si="22"/>
        <v>0.66666766666666666</v>
      </c>
      <c r="B85" s="20">
        <f t="shared" si="20"/>
        <v>0.6741573033707865</v>
      </c>
      <c r="C85" s="21">
        <f t="shared" si="21"/>
        <v>0.6741573033707865</v>
      </c>
      <c r="D85" s="21">
        <f t="shared" si="23"/>
        <v>1.4833333333333334</v>
      </c>
      <c r="E85" s="21">
        <v>89</v>
      </c>
      <c r="F85" s="21">
        <f t="shared" si="24"/>
        <v>-62.380880952380956</v>
      </c>
      <c r="G85" s="21"/>
      <c r="H85" s="21"/>
      <c r="I85" s="21"/>
      <c r="J85" s="21"/>
      <c r="K85" s="21"/>
      <c r="L85" s="21"/>
      <c r="M85" s="21"/>
      <c r="N85" s="21"/>
      <c r="O85" s="21"/>
      <c r="P85" s="21"/>
      <c r="Q85" s="21"/>
      <c r="R85" s="21"/>
      <c r="S85" s="21"/>
    </row>
    <row r="86" spans="1:19" x14ac:dyDescent="0.25">
      <c r="A86" s="20">
        <f t="shared" si="22"/>
        <v>0.65934165934065936</v>
      </c>
      <c r="B86" s="20">
        <f t="shared" si="20"/>
        <v>0.66666666666666663</v>
      </c>
      <c r="C86" s="21">
        <f t="shared" si="21"/>
        <v>0.66666666666666663</v>
      </c>
      <c r="D86" s="21">
        <f t="shared" si="23"/>
        <v>1.5</v>
      </c>
      <c r="E86" s="21">
        <v>90</v>
      </c>
      <c r="F86" s="21">
        <f t="shared" si="24"/>
        <v>-62.904167189952908</v>
      </c>
      <c r="G86" s="21"/>
      <c r="H86" s="21"/>
      <c r="I86" s="21"/>
      <c r="J86" s="21"/>
      <c r="K86" s="21"/>
      <c r="L86" s="21"/>
      <c r="M86" s="21"/>
      <c r="N86" s="21"/>
      <c r="O86" s="21"/>
      <c r="P86" s="21"/>
      <c r="Q86" s="21"/>
      <c r="R86" s="21"/>
      <c r="S86" s="21"/>
    </row>
    <row r="87" spans="1:19" x14ac:dyDescent="0.25">
      <c r="A87" s="20">
        <f t="shared" si="22"/>
        <v>0.6521749130434783</v>
      </c>
      <c r="B87" s="20">
        <f t="shared" si="20"/>
        <v>0.65934065934065933</v>
      </c>
      <c r="C87" s="21">
        <f t="shared" si="21"/>
        <v>0.65934065934065933</v>
      </c>
      <c r="D87" s="21">
        <f t="shared" si="23"/>
        <v>1.5166666666666666</v>
      </c>
      <c r="E87" s="21">
        <v>91</v>
      </c>
      <c r="F87" s="21">
        <f t="shared" si="24"/>
        <v>-63.416077639751556</v>
      </c>
      <c r="G87" s="21"/>
      <c r="H87" s="21"/>
      <c r="I87" s="21"/>
      <c r="J87" s="21"/>
      <c r="K87" s="21"/>
      <c r="L87" s="270"/>
      <c r="M87" s="21"/>
      <c r="N87" s="21"/>
      <c r="O87" s="21"/>
      <c r="P87" s="21"/>
      <c r="Q87" s="21"/>
      <c r="R87" s="21"/>
      <c r="S87" s="21"/>
    </row>
    <row r="88" spans="1:19" x14ac:dyDescent="0.25">
      <c r="A88" s="20">
        <f t="shared" si="22"/>
        <v>0.64516229032258066</v>
      </c>
      <c r="B88" s="20">
        <f t="shared" si="20"/>
        <v>0.65217391304347827</v>
      </c>
      <c r="C88" s="21">
        <f t="shared" si="21"/>
        <v>0.65217391304347827</v>
      </c>
      <c r="D88" s="21">
        <f t="shared" si="23"/>
        <v>1.5333333333333332</v>
      </c>
      <c r="E88" s="21">
        <v>92</v>
      </c>
      <c r="F88" s="21">
        <f t="shared" si="24"/>
        <v>-63.916979262672811</v>
      </c>
      <c r="G88" s="21"/>
      <c r="H88" s="21"/>
      <c r="I88" s="21"/>
      <c r="J88" s="21"/>
      <c r="K88" s="21"/>
      <c r="L88" s="21"/>
      <c r="M88" s="21"/>
      <c r="N88" s="21"/>
      <c r="O88" s="21"/>
      <c r="P88" s="21"/>
      <c r="Q88" s="21"/>
      <c r="R88" s="21"/>
      <c r="S88" s="21"/>
    </row>
    <row r="89" spans="1:19" x14ac:dyDescent="0.25">
      <c r="A89" s="20">
        <f t="shared" si="22"/>
        <v>0.63829887234042559</v>
      </c>
      <c r="B89" s="20">
        <f t="shared" si="20"/>
        <v>0.64516129032258063</v>
      </c>
      <c r="C89" s="21">
        <f t="shared" si="21"/>
        <v>0.64516129032258063</v>
      </c>
      <c r="D89" s="21">
        <f t="shared" si="23"/>
        <v>1.55</v>
      </c>
      <c r="E89" s="21">
        <v>93</v>
      </c>
      <c r="F89" s="21">
        <f t="shared" si="24"/>
        <v>-64.407223404255319</v>
      </c>
      <c r="G89" s="21"/>
      <c r="H89" s="21"/>
      <c r="I89" s="21"/>
      <c r="J89" s="21"/>
      <c r="K89" s="21"/>
      <c r="L89" s="21"/>
      <c r="M89" s="21"/>
      <c r="N89" s="21"/>
      <c r="O89" s="21"/>
      <c r="P89" s="21"/>
      <c r="Q89" s="21"/>
      <c r="R89" s="21"/>
      <c r="S89" s="21"/>
    </row>
    <row r="90" spans="1:19" x14ac:dyDescent="0.25">
      <c r="A90" s="20">
        <f t="shared" si="22"/>
        <v>0.63157994736842105</v>
      </c>
      <c r="B90" s="20">
        <f t="shared" si="20"/>
        <v>0.63829787234042556</v>
      </c>
      <c r="C90" s="21">
        <f t="shared" si="21"/>
        <v>0.63829787234042556</v>
      </c>
      <c r="D90" s="21">
        <f t="shared" si="23"/>
        <v>1.5666666666666667</v>
      </c>
      <c r="E90" s="21">
        <v>94</v>
      </c>
      <c r="F90" s="21">
        <f t="shared" si="24"/>
        <v>-64.887146616541358</v>
      </c>
      <c r="G90" s="21"/>
      <c r="H90" s="21"/>
      <c r="I90" s="21"/>
      <c r="J90" s="21"/>
      <c r="K90" s="21"/>
      <c r="L90" s="21"/>
      <c r="M90" s="21"/>
      <c r="N90" s="21"/>
      <c r="O90" s="21"/>
      <c r="P90" s="21"/>
      <c r="Q90" s="21"/>
      <c r="R90" s="21"/>
      <c r="S90" s="21"/>
    </row>
    <row r="91" spans="1:19" x14ac:dyDescent="0.25">
      <c r="A91" s="20">
        <f t="shared" si="22"/>
        <v>0.62500100000000003</v>
      </c>
      <c r="B91" s="20">
        <f t="shared" si="20"/>
        <v>0.63157894736842102</v>
      </c>
      <c r="C91" s="21">
        <f t="shared" si="21"/>
        <v>0.63157894736842102</v>
      </c>
      <c r="D91" s="21">
        <f t="shared" si="23"/>
        <v>1.5833333333333335</v>
      </c>
      <c r="E91" s="21">
        <v>95</v>
      </c>
      <c r="F91" s="21">
        <f t="shared" si="24"/>
        <v>-65.35707142857143</v>
      </c>
      <c r="G91" s="21"/>
      <c r="H91" s="21"/>
      <c r="I91" s="21"/>
      <c r="J91" s="21"/>
      <c r="K91" s="21"/>
      <c r="L91" s="21"/>
      <c r="M91" s="21"/>
      <c r="N91" s="21"/>
      <c r="O91" s="21"/>
      <c r="P91" s="21"/>
      <c r="Q91" s="21"/>
      <c r="R91" s="21"/>
      <c r="S91" s="21"/>
    </row>
    <row r="92" spans="1:19" x14ac:dyDescent="0.25">
      <c r="A92" s="20">
        <f t="shared" si="22"/>
        <v>0.61855770103092789</v>
      </c>
      <c r="B92" s="20">
        <f t="shared" si="20"/>
        <v>0.625</v>
      </c>
      <c r="C92" s="21">
        <f t="shared" si="21"/>
        <v>0.625</v>
      </c>
      <c r="D92" s="21">
        <f t="shared" si="23"/>
        <v>1.6</v>
      </c>
      <c r="E92" s="21">
        <v>96</v>
      </c>
      <c r="F92" s="21">
        <f t="shared" si="24"/>
        <v>-65.817307069219439</v>
      </c>
      <c r="G92" s="21"/>
      <c r="H92" s="21"/>
      <c r="I92" s="21"/>
      <c r="J92" s="21"/>
      <c r="K92" s="21"/>
      <c r="L92" s="21"/>
      <c r="M92" s="21"/>
      <c r="N92" s="21"/>
      <c r="O92" s="21"/>
      <c r="P92" s="21"/>
      <c r="Q92" s="21"/>
      <c r="R92" s="21"/>
      <c r="S92" s="21"/>
    </row>
    <row r="93" spans="1:19" x14ac:dyDescent="0.25">
      <c r="A93" s="20">
        <f t="shared" si="22"/>
        <v>0.61224589795918372</v>
      </c>
      <c r="B93" s="20">
        <f t="shared" si="20"/>
        <v>0.61855670103092786</v>
      </c>
      <c r="C93" s="21">
        <f t="shared" si="21"/>
        <v>0.61855670103092786</v>
      </c>
      <c r="D93" s="21">
        <f t="shared" si="23"/>
        <v>1.6166666666666667</v>
      </c>
      <c r="E93" s="21">
        <v>97</v>
      </c>
      <c r="F93" s="21">
        <f t="shared" si="24"/>
        <v>-66.268150145772594</v>
      </c>
      <c r="G93" s="21"/>
      <c r="H93" s="21"/>
      <c r="I93" s="21"/>
      <c r="J93" s="21"/>
      <c r="K93" s="21"/>
      <c r="L93" s="21"/>
      <c r="M93" s="21"/>
      <c r="N93" s="21"/>
      <c r="O93" s="21"/>
      <c r="P93" s="21"/>
      <c r="Q93" s="21"/>
      <c r="R93" s="21"/>
      <c r="S93" s="21"/>
    </row>
    <row r="94" spans="1:19" x14ac:dyDescent="0.25">
      <c r="A94" s="20">
        <f t="shared" si="22"/>
        <v>0.60606160606060611</v>
      </c>
      <c r="B94" s="20">
        <f t="shared" si="20"/>
        <v>0.61224489795918369</v>
      </c>
      <c r="C94" s="21">
        <f t="shared" si="21"/>
        <v>0.61224489795918369</v>
      </c>
      <c r="D94" s="21">
        <f t="shared" si="23"/>
        <v>1.6333333333333333</v>
      </c>
      <c r="E94" s="21">
        <v>98</v>
      </c>
      <c r="F94" s="21">
        <f t="shared" si="24"/>
        <v>-66.709885281385283</v>
      </c>
      <c r="G94" s="21"/>
      <c r="H94" s="21"/>
      <c r="I94" s="21"/>
      <c r="J94" s="21"/>
      <c r="K94" s="21"/>
      <c r="L94" s="21"/>
      <c r="M94" s="21"/>
      <c r="N94" s="21"/>
      <c r="O94" s="21"/>
      <c r="P94" s="21"/>
      <c r="Q94" s="21"/>
      <c r="R94" s="21"/>
      <c r="S94" s="21"/>
    </row>
    <row r="95" spans="1:19" x14ac:dyDescent="0.25">
      <c r="A95" s="20">
        <f t="shared" si="22"/>
        <v>0.60000100000000001</v>
      </c>
      <c r="B95" s="20">
        <f t="shared" si="20"/>
        <v>0.60606060606060608</v>
      </c>
      <c r="C95" s="21">
        <f t="shared" si="21"/>
        <v>0.60606060606060608</v>
      </c>
      <c r="D95" s="21">
        <f t="shared" si="23"/>
        <v>1.65</v>
      </c>
      <c r="E95" s="21">
        <v>99</v>
      </c>
      <c r="F95" s="21">
        <f t="shared" si="24"/>
        <v>-67.142785714285722</v>
      </c>
      <c r="G95" s="21"/>
      <c r="H95" s="21"/>
      <c r="I95" s="21"/>
      <c r="J95" s="21"/>
      <c r="K95" s="21"/>
      <c r="L95" s="21"/>
      <c r="M95" s="21"/>
      <c r="N95" s="21"/>
      <c r="O95" s="21"/>
      <c r="P95" s="21"/>
      <c r="Q95" s="21"/>
      <c r="R95" s="21"/>
      <c r="S95" s="21"/>
    </row>
    <row r="96" spans="1:19" x14ac:dyDescent="0.25">
      <c r="A96" s="20">
        <f t="shared" si="22"/>
        <v>0.59406040594059406</v>
      </c>
      <c r="B96" s="20">
        <f t="shared" si="20"/>
        <v>0.6</v>
      </c>
      <c r="C96" s="21">
        <f t="shared" si="21"/>
        <v>0.6</v>
      </c>
      <c r="D96" s="21">
        <f t="shared" si="23"/>
        <v>1.6666666666666667</v>
      </c>
      <c r="E96" s="21">
        <v>100</v>
      </c>
      <c r="F96" s="21">
        <f t="shared" si="24"/>
        <v>-67.567113861386147</v>
      </c>
      <c r="G96" s="21"/>
      <c r="H96" s="21"/>
      <c r="I96" s="21"/>
      <c r="J96" s="21"/>
      <c r="K96" s="21"/>
      <c r="L96" s="21"/>
      <c r="M96" s="21"/>
      <c r="N96" s="21"/>
      <c r="O96" s="21"/>
      <c r="P96" s="21"/>
      <c r="Q96" s="21"/>
      <c r="R96" s="21"/>
      <c r="S96" s="21"/>
    </row>
    <row r="97" spans="1:19" x14ac:dyDescent="0.25">
      <c r="A97" s="20">
        <f t="shared" si="22"/>
        <v>0.58823629411764711</v>
      </c>
      <c r="B97" s="20">
        <f t="shared" si="20"/>
        <v>0.59405940594059403</v>
      </c>
      <c r="C97" s="21">
        <f t="shared" si="21"/>
        <v>0.59405940594059403</v>
      </c>
      <c r="D97" s="21">
        <f t="shared" si="23"/>
        <v>1.6833333333333333</v>
      </c>
      <c r="E97" s="21">
        <v>101</v>
      </c>
      <c r="F97" s="21">
        <f t="shared" si="24"/>
        <v>-67.983121848739501</v>
      </c>
      <c r="G97" s="21"/>
      <c r="H97" s="21"/>
      <c r="I97" s="21"/>
      <c r="J97" s="21"/>
      <c r="K97" s="21"/>
      <c r="L97" s="21"/>
      <c r="M97" s="21"/>
      <c r="N97" s="21"/>
      <c r="O97" s="21"/>
      <c r="P97" s="21"/>
      <c r="Q97" s="21"/>
      <c r="R97" s="21"/>
      <c r="S97" s="21"/>
    </row>
    <row r="98" spans="1:19" x14ac:dyDescent="0.25">
      <c r="A98" s="20">
        <f t="shared" si="22"/>
        <v>0.58252527184466019</v>
      </c>
      <c r="B98" s="20">
        <f t="shared" si="20"/>
        <v>0.58823529411764708</v>
      </c>
      <c r="C98" s="21">
        <f t="shared" si="21"/>
        <v>0.58823529411764708</v>
      </c>
      <c r="D98" s="21">
        <f t="shared" si="23"/>
        <v>1.7</v>
      </c>
      <c r="E98" s="21">
        <v>102</v>
      </c>
      <c r="F98" s="21">
        <f t="shared" si="24"/>
        <v>-68.391052011095709</v>
      </c>
      <c r="G98" s="21"/>
      <c r="H98" s="21"/>
      <c r="I98" s="21"/>
      <c r="J98" s="21"/>
      <c r="K98" s="21"/>
      <c r="L98" s="21"/>
      <c r="M98" s="21"/>
      <c r="N98" s="21"/>
      <c r="O98" s="21"/>
      <c r="P98" s="21"/>
      <c r="Q98" s="21"/>
      <c r="R98" s="21"/>
      <c r="S98" s="21"/>
    </row>
    <row r="99" spans="1:19" x14ac:dyDescent="0.25">
      <c r="A99" s="20">
        <f t="shared" si="22"/>
        <v>0.5769240769230769</v>
      </c>
      <c r="B99" s="20">
        <f t="shared" si="20"/>
        <v>0.58252427184466016</v>
      </c>
      <c r="C99" s="21">
        <f t="shared" si="21"/>
        <v>0.58252427184466016</v>
      </c>
      <c r="D99" s="21">
        <f t="shared" si="23"/>
        <v>1.7166666666666668</v>
      </c>
      <c r="E99" s="21">
        <v>103</v>
      </c>
      <c r="F99" s="21">
        <f t="shared" si="24"/>
        <v>-68.791137362637372</v>
      </c>
      <c r="G99" s="21"/>
      <c r="H99" s="21"/>
      <c r="I99" s="21"/>
      <c r="J99" s="21"/>
      <c r="K99" s="21"/>
      <c r="L99" s="21"/>
      <c r="M99" s="21"/>
      <c r="N99" s="21"/>
      <c r="O99" s="21"/>
      <c r="P99" s="21"/>
      <c r="Q99" s="21"/>
      <c r="R99" s="21"/>
      <c r="S99" s="21"/>
    </row>
    <row r="100" spans="1:19" x14ac:dyDescent="0.25">
      <c r="A100" s="20">
        <f t="shared" si="22"/>
        <v>0.57142957142857143</v>
      </c>
      <c r="B100" s="20">
        <f t="shared" si="20"/>
        <v>0.57692307692307687</v>
      </c>
      <c r="C100" s="21">
        <f t="shared" si="21"/>
        <v>0.57692307692307687</v>
      </c>
      <c r="D100" s="21">
        <f t="shared" si="23"/>
        <v>1.7333333333333334</v>
      </c>
      <c r="E100" s="21">
        <v>104</v>
      </c>
      <c r="F100" s="21">
        <f t="shared" si="24"/>
        <v>-69.183602040816339</v>
      </c>
      <c r="G100" s="21"/>
      <c r="H100" s="21"/>
      <c r="I100" s="21"/>
      <c r="J100" s="21"/>
      <c r="K100" s="21"/>
      <c r="L100" s="21"/>
      <c r="M100" s="21"/>
      <c r="N100" s="21"/>
      <c r="O100" s="21"/>
      <c r="P100" s="21"/>
      <c r="Q100" s="21"/>
      <c r="R100" s="21"/>
      <c r="S100" s="21"/>
    </row>
    <row r="101" spans="1:19" x14ac:dyDescent="0.25">
      <c r="A101" s="20">
        <f t="shared" si="22"/>
        <v>0.56603873584905662</v>
      </c>
      <c r="B101" s="20">
        <f t="shared" si="20"/>
        <v>0.5714285714285714</v>
      </c>
      <c r="C101" s="21">
        <f t="shared" si="21"/>
        <v>0.5714285714285714</v>
      </c>
      <c r="D101" s="21">
        <f t="shared" si="23"/>
        <v>1.75</v>
      </c>
      <c r="E101" s="21">
        <v>105</v>
      </c>
      <c r="F101" s="21">
        <f t="shared" si="24"/>
        <v>-69.568661725067386</v>
      </c>
      <c r="G101" s="21"/>
      <c r="H101" s="21"/>
      <c r="I101" s="21"/>
      <c r="J101" s="21"/>
      <c r="K101" s="21"/>
      <c r="L101" s="21"/>
      <c r="M101" s="21"/>
      <c r="N101" s="21"/>
      <c r="O101" s="21"/>
      <c r="P101" s="21"/>
      <c r="Q101" s="21"/>
      <c r="R101" s="21"/>
      <c r="S101" s="21"/>
    </row>
    <row r="102" spans="1:19" x14ac:dyDescent="0.25">
      <c r="A102" s="20">
        <f t="shared" si="22"/>
        <v>0.56074866355140185</v>
      </c>
      <c r="B102" s="20">
        <f t="shared" si="20"/>
        <v>0.56603773584905659</v>
      </c>
      <c r="C102" s="21">
        <f t="shared" si="21"/>
        <v>0.56603773584905659</v>
      </c>
      <c r="D102" s="21">
        <f t="shared" si="23"/>
        <v>1.7666666666666666</v>
      </c>
      <c r="E102" s="21">
        <v>106</v>
      </c>
      <c r="F102" s="21">
        <f t="shared" si="24"/>
        <v>-69.946524032042731</v>
      </c>
      <c r="G102" s="21"/>
      <c r="H102" s="21"/>
      <c r="I102" s="21"/>
      <c r="J102" s="21"/>
      <c r="K102" s="21"/>
      <c r="L102" s="21"/>
      <c r="M102" s="21"/>
      <c r="N102" s="21"/>
      <c r="O102" s="21"/>
      <c r="P102" s="21"/>
      <c r="Q102" s="21"/>
      <c r="R102" s="21"/>
      <c r="S102" s="21"/>
    </row>
    <row r="103" spans="1:19" x14ac:dyDescent="0.25">
      <c r="A103" s="20">
        <f t="shared" si="22"/>
        <v>0.55555655555555561</v>
      </c>
      <c r="B103" s="20">
        <f t="shared" si="20"/>
        <v>0.56074766355140182</v>
      </c>
      <c r="C103" s="21">
        <f t="shared" si="21"/>
        <v>0.56074766355140182</v>
      </c>
      <c r="D103" s="21">
        <f t="shared" si="23"/>
        <v>1.7833333333333334</v>
      </c>
      <c r="E103" s="21">
        <v>107</v>
      </c>
      <c r="F103" s="21">
        <f t="shared" si="24"/>
        <v>-70.317388888888885</v>
      </c>
      <c r="G103" s="21"/>
      <c r="H103" s="21"/>
      <c r="I103" s="21"/>
      <c r="J103" s="21"/>
      <c r="K103" s="21"/>
      <c r="L103" s="21"/>
      <c r="M103" s="21"/>
      <c r="N103" s="21"/>
      <c r="O103" s="21"/>
      <c r="P103" s="21"/>
      <c r="Q103" s="21"/>
      <c r="R103" s="21"/>
      <c r="S103" s="21"/>
    </row>
    <row r="104" spans="1:19" x14ac:dyDescent="0.25">
      <c r="A104" s="20">
        <f t="shared" si="22"/>
        <v>0.55045971559633033</v>
      </c>
      <c r="B104" s="20">
        <f t="shared" si="20"/>
        <v>0.55555555555555558</v>
      </c>
      <c r="C104" s="21">
        <f t="shared" si="21"/>
        <v>0.55555555555555558</v>
      </c>
      <c r="D104" s="21">
        <f t="shared" si="23"/>
        <v>1.7999999999999998</v>
      </c>
      <c r="E104" s="21">
        <v>108</v>
      </c>
      <c r="F104" s="21">
        <f t="shared" si="24"/>
        <v>-70.681448885976423</v>
      </c>
      <c r="G104" s="21"/>
      <c r="H104" s="21"/>
      <c r="I104" s="21"/>
      <c r="J104" s="21"/>
      <c r="K104" s="21"/>
      <c r="L104" s="21"/>
      <c r="M104" s="21"/>
      <c r="N104" s="21"/>
      <c r="O104" s="21"/>
      <c r="P104" s="21"/>
      <c r="Q104" s="21"/>
      <c r="R104" s="21"/>
      <c r="S104" s="21"/>
    </row>
    <row r="105" spans="1:19" x14ac:dyDescent="0.25">
      <c r="A105" s="20">
        <f t="shared" si="22"/>
        <v>0.54545554545454544</v>
      </c>
      <c r="B105" s="20">
        <f t="shared" si="20"/>
        <v>0.55045871559633031</v>
      </c>
      <c r="C105" s="21">
        <f t="shared" si="21"/>
        <v>0.55045871559633031</v>
      </c>
      <c r="D105" s="21">
        <f t="shared" si="23"/>
        <v>1.8166666666666667</v>
      </c>
      <c r="E105" s="21">
        <v>109</v>
      </c>
      <c r="F105" s="21">
        <f t="shared" si="24"/>
        <v>-71.038889610389617</v>
      </c>
      <c r="G105" s="21"/>
      <c r="H105" s="21"/>
      <c r="I105" s="21"/>
      <c r="J105" s="21"/>
      <c r="K105" s="21"/>
      <c r="L105" s="21"/>
      <c r="M105" s="21"/>
      <c r="N105" s="21"/>
      <c r="O105" s="21"/>
      <c r="P105" s="21"/>
      <c r="Q105" s="21"/>
      <c r="R105" s="21"/>
      <c r="S105" s="21"/>
    </row>
    <row r="106" spans="1:19" x14ac:dyDescent="0.25">
      <c r="A106" s="20">
        <f t="shared" si="22"/>
        <v>0.5405415405405406</v>
      </c>
      <c r="B106" s="20">
        <f t="shared" si="20"/>
        <v>0.54545454545454541</v>
      </c>
      <c r="C106" s="21">
        <f t="shared" si="21"/>
        <v>0.54545454545454541</v>
      </c>
      <c r="D106" s="21">
        <f t="shared" si="23"/>
        <v>1.8333333333333335</v>
      </c>
      <c r="E106" s="21">
        <v>110</v>
      </c>
      <c r="F106" s="21">
        <f t="shared" si="24"/>
        <v>-71.389889961389969</v>
      </c>
      <c r="G106" s="21"/>
      <c r="H106" s="21"/>
      <c r="I106" s="21"/>
      <c r="J106" s="21"/>
      <c r="K106" s="21"/>
      <c r="L106" s="21"/>
      <c r="M106" s="21"/>
      <c r="N106" s="21"/>
      <c r="O106" s="21"/>
      <c r="P106" s="21"/>
      <c r="Q106" s="21"/>
      <c r="R106" s="21"/>
      <c r="S106" s="21"/>
    </row>
    <row r="107" spans="1:19" x14ac:dyDescent="0.25">
      <c r="A107" s="20">
        <f t="shared" si="22"/>
        <v>0.53571528571428573</v>
      </c>
      <c r="B107" s="20">
        <f t="shared" si="20"/>
        <v>0.54054054054054057</v>
      </c>
      <c r="C107" s="21">
        <f t="shared" si="21"/>
        <v>0.54054054054054057</v>
      </c>
      <c r="D107" s="21">
        <f t="shared" si="23"/>
        <v>1.8499999999999999</v>
      </c>
      <c r="E107" s="21">
        <v>111</v>
      </c>
      <c r="F107" s="21">
        <f t="shared" si="24"/>
        <v>-71.734622448979607</v>
      </c>
      <c r="G107" s="21"/>
      <c r="H107" s="21"/>
      <c r="I107" s="21"/>
      <c r="J107" s="21"/>
      <c r="K107" s="21"/>
      <c r="L107" s="21"/>
      <c r="M107" s="21"/>
      <c r="N107" s="21"/>
      <c r="O107" s="21"/>
      <c r="P107" s="21"/>
      <c r="Q107" s="21"/>
      <c r="R107" s="21"/>
      <c r="S107" s="21"/>
    </row>
    <row r="108" spans="1:19" x14ac:dyDescent="0.25">
      <c r="A108" s="20">
        <f t="shared" si="22"/>
        <v>0.53097445132743371</v>
      </c>
      <c r="B108" s="20">
        <f t="shared" si="20"/>
        <v>0.5357142857142857</v>
      </c>
      <c r="C108" s="21">
        <f t="shared" si="21"/>
        <v>0.5357142857142857</v>
      </c>
      <c r="D108" s="21">
        <f t="shared" si="23"/>
        <v>1.8666666666666667</v>
      </c>
      <c r="E108" s="21">
        <v>112</v>
      </c>
      <c r="F108" s="21">
        <f t="shared" si="24"/>
        <v>-72.073253476611882</v>
      </c>
      <c r="G108" s="21"/>
      <c r="H108" s="21"/>
      <c r="I108" s="21"/>
      <c r="J108" s="21"/>
      <c r="K108" s="21"/>
      <c r="L108" s="21"/>
      <c r="M108" s="21"/>
      <c r="N108" s="21"/>
      <c r="O108" s="21"/>
      <c r="P108" s="21"/>
      <c r="Q108" s="21"/>
      <c r="R108" s="21"/>
      <c r="S108" s="21"/>
    </row>
    <row r="109" spans="1:19" x14ac:dyDescent="0.25">
      <c r="A109" s="20">
        <f t="shared" si="22"/>
        <v>0.52631678947368421</v>
      </c>
      <c r="B109" s="20">
        <f t="shared" si="20"/>
        <v>0.53097345132743368</v>
      </c>
      <c r="C109" s="21">
        <f t="shared" si="21"/>
        <v>0.53097345132743368</v>
      </c>
      <c r="D109" s="21">
        <f t="shared" si="23"/>
        <v>1.8833333333333331</v>
      </c>
      <c r="E109" s="21">
        <v>113</v>
      </c>
      <c r="F109" s="21">
        <f t="shared" si="24"/>
        <v>-72.405943609022557</v>
      </c>
      <c r="G109" s="21"/>
      <c r="H109" s="21"/>
      <c r="I109" s="21"/>
      <c r="J109" s="21"/>
      <c r="K109" s="21"/>
      <c r="L109" s="21"/>
      <c r="M109" s="21"/>
      <c r="N109" s="21"/>
      <c r="O109" s="21"/>
      <c r="P109" s="21"/>
      <c r="Q109" s="21"/>
      <c r="R109" s="21"/>
      <c r="S109" s="21"/>
    </row>
    <row r="110" spans="1:19" x14ac:dyDescent="0.25">
      <c r="A110" s="20">
        <f t="shared" si="22"/>
        <v>0.52174013043478262</v>
      </c>
      <c r="B110" s="20">
        <f t="shared" si="20"/>
        <v>0.52631578947368418</v>
      </c>
      <c r="C110" s="21">
        <f t="shared" si="21"/>
        <v>0.52631578947368418</v>
      </c>
      <c r="D110" s="21">
        <f t="shared" si="23"/>
        <v>1.9000000000000001</v>
      </c>
      <c r="E110" s="21">
        <v>114</v>
      </c>
      <c r="F110" s="21">
        <f t="shared" si="24"/>
        <v>-72.732847826086967</v>
      </c>
      <c r="G110" s="21"/>
      <c r="H110" s="21"/>
      <c r="I110" s="21"/>
      <c r="J110" s="21"/>
      <c r="K110" s="21"/>
      <c r="L110" s="21"/>
      <c r="M110" s="21"/>
      <c r="N110" s="21"/>
      <c r="O110" s="21"/>
      <c r="P110" s="21"/>
      <c r="Q110" s="21"/>
      <c r="R110" s="21"/>
      <c r="S110" s="21"/>
    </row>
    <row r="111" spans="1:19" x14ac:dyDescent="0.25">
      <c r="A111" s="20">
        <f t="shared" si="22"/>
        <v>0.51724237931034489</v>
      </c>
      <c r="B111" s="20">
        <f t="shared" si="20"/>
        <v>0.52173913043478259</v>
      </c>
      <c r="C111" s="21">
        <f t="shared" si="21"/>
        <v>0.52173913043478259</v>
      </c>
      <c r="D111" s="21">
        <f t="shared" si="23"/>
        <v>1.9166666666666667</v>
      </c>
      <c r="E111" s="21">
        <v>115</v>
      </c>
      <c r="F111" s="21">
        <f t="shared" si="24"/>
        <v>-73.054115763546804</v>
      </c>
      <c r="G111" s="21"/>
      <c r="H111" s="21"/>
      <c r="I111" s="21"/>
      <c r="J111" s="21"/>
      <c r="K111" s="21"/>
      <c r="L111" s="21"/>
      <c r="M111" s="21"/>
      <c r="N111" s="21"/>
      <c r="O111" s="21"/>
      <c r="P111" s="21"/>
      <c r="Q111" s="21"/>
      <c r="R111" s="21"/>
      <c r="S111" s="21"/>
    </row>
    <row r="112" spans="1:19" x14ac:dyDescent="0.25">
      <c r="A112" s="20">
        <f t="shared" si="22"/>
        <v>0.5128215128205128</v>
      </c>
      <c r="B112" s="20">
        <f t="shared" si="20"/>
        <v>0.51724137931034486</v>
      </c>
      <c r="C112" s="21">
        <f t="shared" si="21"/>
        <v>0.51724137931034486</v>
      </c>
      <c r="D112" s="21">
        <f t="shared" si="23"/>
        <v>1.9333333333333331</v>
      </c>
      <c r="E112" s="21">
        <v>116</v>
      </c>
      <c r="F112" s="21">
        <f t="shared" si="24"/>
        <v>-73.369891941391941</v>
      </c>
      <c r="G112" s="21"/>
      <c r="H112" s="21"/>
      <c r="I112" s="21"/>
      <c r="J112" s="21"/>
      <c r="K112" s="21"/>
      <c r="L112" s="21"/>
      <c r="M112" s="21"/>
      <c r="N112" s="21"/>
      <c r="O112" s="21"/>
      <c r="P112" s="21"/>
      <c r="Q112" s="21"/>
      <c r="R112" s="21"/>
      <c r="S112" s="21"/>
    </row>
    <row r="113" spans="1:19" x14ac:dyDescent="0.25">
      <c r="A113" s="20">
        <f t="shared" si="22"/>
        <v>0.50847557627118645</v>
      </c>
      <c r="B113" s="20">
        <f t="shared" si="20"/>
        <v>0.51282051282051277</v>
      </c>
      <c r="C113" s="21">
        <f t="shared" si="21"/>
        <v>0.51282051282051277</v>
      </c>
      <c r="D113" s="21">
        <f t="shared" si="23"/>
        <v>1.9500000000000002</v>
      </c>
      <c r="E113" s="21">
        <v>117</v>
      </c>
      <c r="F113" s="21">
        <f t="shared" si="24"/>
        <v>-73.680315980629544</v>
      </c>
      <c r="G113" s="21"/>
      <c r="H113" s="21"/>
      <c r="I113" s="21"/>
      <c r="J113" s="21"/>
      <c r="K113" s="21"/>
      <c r="L113" s="21"/>
      <c r="M113" s="21"/>
      <c r="N113" s="21"/>
      <c r="O113" s="21"/>
      <c r="P113" s="21"/>
      <c r="Q113" s="21"/>
      <c r="R113" s="21"/>
      <c r="S113" s="21"/>
    </row>
    <row r="114" spans="1:19" x14ac:dyDescent="0.25">
      <c r="A114" s="20">
        <f t="shared" si="22"/>
        <v>0.50420268067226892</v>
      </c>
      <c r="B114" s="20">
        <f t="shared" si="20"/>
        <v>0.50847457627118642</v>
      </c>
      <c r="C114" s="21">
        <f t="shared" si="21"/>
        <v>0.50847457627118642</v>
      </c>
      <c r="D114" s="21">
        <f t="shared" si="23"/>
        <v>1.9666666666666668</v>
      </c>
      <c r="E114" s="21">
        <v>118</v>
      </c>
      <c r="F114" s="21">
        <f t="shared" si="24"/>
        <v>-73.985522809123651</v>
      </c>
      <c r="G114" s="21"/>
      <c r="H114" s="21"/>
      <c r="I114" s="21"/>
      <c r="J114" s="21"/>
      <c r="K114" s="21"/>
      <c r="L114" s="21"/>
      <c r="M114" s="21"/>
      <c r="N114" s="21"/>
      <c r="O114" s="21"/>
      <c r="P114" s="21"/>
      <c r="Q114" s="21"/>
      <c r="R114" s="21"/>
      <c r="S114" s="21"/>
    </row>
    <row r="115" spans="1:19" x14ac:dyDescent="0.25">
      <c r="A115" s="20">
        <f t="shared" si="22"/>
        <v>0.50000100000000003</v>
      </c>
      <c r="B115" s="20">
        <f t="shared" si="20"/>
        <v>0.50420168067226889</v>
      </c>
      <c r="C115" s="21">
        <f t="shared" si="21"/>
        <v>0.50420168067226889</v>
      </c>
      <c r="D115" s="21">
        <f t="shared" si="23"/>
        <v>1.9833333333333334</v>
      </c>
      <c r="E115" s="21">
        <v>119</v>
      </c>
      <c r="F115" s="21">
        <f t="shared" si="24"/>
        <v>-74.285642857142847</v>
      </c>
      <c r="G115" s="21"/>
      <c r="H115" s="21"/>
      <c r="I115" s="21"/>
      <c r="J115" s="21"/>
      <c r="K115" s="21"/>
      <c r="L115" s="21"/>
      <c r="M115" s="21"/>
      <c r="N115" s="21"/>
      <c r="O115" s="21"/>
      <c r="P115" s="21"/>
      <c r="Q115" s="21"/>
      <c r="R115" s="21"/>
      <c r="S115" s="21"/>
    </row>
    <row r="116" spans="1:19" x14ac:dyDescent="0.25">
      <c r="A116" s="20">
        <f t="shared" si="22"/>
        <v>0.49586876859504131</v>
      </c>
      <c r="B116" s="20">
        <f t="shared" si="20"/>
        <v>0.5</v>
      </c>
      <c r="C116" s="21">
        <f t="shared" si="21"/>
        <v>0.5</v>
      </c>
      <c r="D116" s="21">
        <f t="shared" si="23"/>
        <v>2</v>
      </c>
      <c r="E116" s="21">
        <v>120</v>
      </c>
      <c r="F116" s="21">
        <f t="shared" si="24"/>
        <v>-74.580802243211338</v>
      </c>
      <c r="G116" s="21"/>
      <c r="H116" s="21"/>
      <c r="I116" s="21"/>
      <c r="J116" s="21"/>
      <c r="K116" s="21"/>
      <c r="L116" s="21"/>
      <c r="M116" s="21"/>
      <c r="N116" s="21"/>
      <c r="O116" s="21"/>
      <c r="P116" s="21"/>
      <c r="Q116" s="21"/>
      <c r="R116" s="21"/>
      <c r="S116" s="21"/>
    </row>
  </sheetData>
  <mergeCells count="7">
    <mergeCell ref="V6:AA6"/>
    <mergeCell ref="A2:B2"/>
    <mergeCell ref="A3:B3"/>
    <mergeCell ref="A4:B4"/>
    <mergeCell ref="A6:F6"/>
    <mergeCell ref="H6:M6"/>
    <mergeCell ref="O6:T6"/>
  </mergeCells>
  <conditionalFormatting sqref="A8:F116">
    <cfRule type="expression" dxfId="3" priority="4">
      <formula>AND($A8&lt;=APS,$B8&gt;=APS)</formula>
    </cfRule>
  </conditionalFormatting>
  <conditionalFormatting sqref="H8:M62">
    <cfRule type="expression" dxfId="2" priority="3">
      <formula>AND($H8&lt;=APS,$I8&gt;=APS)</formula>
    </cfRule>
  </conditionalFormatting>
  <conditionalFormatting sqref="O8:T44">
    <cfRule type="expression" dxfId="1" priority="2">
      <formula>AND($O8&lt;=APS,$P8&gt;=APS)</formula>
    </cfRule>
  </conditionalFormatting>
  <conditionalFormatting sqref="V8:AA80">
    <cfRule type="expression" dxfId="0" priority="1">
      <formula>AND($V8&lt;=APS,$W8&gt;=APS)</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3"/>
  <sheetViews>
    <sheetView zoomScaleNormal="100" workbookViewId="0">
      <pane ySplit="2" topLeftCell="A3" activePane="bottomLeft" state="frozen"/>
      <selection pane="bottomLeft"/>
    </sheetView>
  </sheetViews>
  <sheetFormatPr defaultRowHeight="15" x14ac:dyDescent="0.25"/>
  <cols>
    <col min="1" max="1" width="28.42578125" customWidth="1"/>
    <col min="2" max="2" width="10.28515625" bestFit="1" customWidth="1"/>
    <col min="3" max="3" width="11" bestFit="1" customWidth="1"/>
    <col min="6" max="6" width="10" bestFit="1" customWidth="1"/>
    <col min="8" max="8" width="10.140625" bestFit="1" customWidth="1"/>
    <col min="11" max="11" width="10.85546875" bestFit="1" customWidth="1"/>
    <col min="14" max="14" width="11.140625" bestFit="1" customWidth="1"/>
    <col min="19" max="19" width="45.7109375" customWidth="1"/>
  </cols>
  <sheetData>
    <row r="1" spans="1:19" x14ac:dyDescent="0.25">
      <c r="B1" s="7"/>
      <c r="C1" s="7"/>
      <c r="M1" s="30"/>
      <c r="N1" s="30"/>
      <c r="O1" s="31"/>
      <c r="P1" s="31"/>
      <c r="Q1" s="31"/>
    </row>
    <row r="2" spans="1:19" x14ac:dyDescent="0.25">
      <c r="A2" s="32" t="s">
        <v>127</v>
      </c>
      <c r="B2" s="33" t="s">
        <v>144</v>
      </c>
      <c r="C2" s="33" t="s">
        <v>202</v>
      </c>
      <c r="D2" s="32" t="s">
        <v>132</v>
      </c>
      <c r="E2" s="32" t="s">
        <v>133</v>
      </c>
      <c r="F2" s="32" t="s">
        <v>134</v>
      </c>
      <c r="G2" s="32" t="s">
        <v>50</v>
      </c>
      <c r="H2" s="32" t="s">
        <v>135</v>
      </c>
      <c r="I2" s="32" t="s">
        <v>136</v>
      </c>
      <c r="J2" s="32" t="s">
        <v>128</v>
      </c>
      <c r="K2" s="32" t="s">
        <v>137</v>
      </c>
      <c r="L2" s="32" t="s">
        <v>138</v>
      </c>
      <c r="M2" s="34" t="s">
        <v>139</v>
      </c>
      <c r="N2" s="34" t="s">
        <v>140</v>
      </c>
      <c r="O2" s="35" t="s">
        <v>141</v>
      </c>
      <c r="P2" s="35" t="s">
        <v>142</v>
      </c>
      <c r="Q2" s="36" t="s">
        <v>110</v>
      </c>
      <c r="R2" s="32" t="s">
        <v>48</v>
      </c>
      <c r="S2" s="32" t="s">
        <v>143</v>
      </c>
    </row>
    <row r="4" spans="1:19" s="9" customFormat="1" x14ac:dyDescent="0.25">
      <c r="A4" s="1" t="s">
        <v>321</v>
      </c>
      <c r="B4" s="9">
        <v>175</v>
      </c>
      <c r="D4" s="9">
        <v>0.24399999999999999</v>
      </c>
      <c r="G4" s="9">
        <v>300</v>
      </c>
      <c r="J4" s="9">
        <v>360</v>
      </c>
      <c r="K4" s="9">
        <v>3</v>
      </c>
      <c r="L4" s="9">
        <v>4</v>
      </c>
      <c r="R4" s="9" t="s">
        <v>158</v>
      </c>
      <c r="S4" s="9" t="s">
        <v>322</v>
      </c>
    </row>
    <row r="5" spans="1:19" s="9" customFormat="1" x14ac:dyDescent="0.25">
      <c r="A5" s="9" t="s">
        <v>323</v>
      </c>
      <c r="B5" s="9">
        <v>175</v>
      </c>
      <c r="D5" s="9">
        <v>0.2</v>
      </c>
      <c r="G5" s="9">
        <v>300</v>
      </c>
      <c r="J5" s="9">
        <v>360</v>
      </c>
      <c r="K5" s="9">
        <v>3</v>
      </c>
      <c r="L5" s="43">
        <v>4</v>
      </c>
      <c r="R5" s="9" t="s">
        <v>158</v>
      </c>
      <c r="S5" s="9" t="s">
        <v>328</v>
      </c>
    </row>
    <row r="6" spans="1:19" s="9" customFormat="1" x14ac:dyDescent="0.25">
      <c r="A6" s="9" t="s">
        <v>324</v>
      </c>
      <c r="B6" s="9">
        <v>175</v>
      </c>
      <c r="D6" s="9">
        <v>0.2</v>
      </c>
      <c r="G6" s="9">
        <v>300</v>
      </c>
      <c r="J6" s="9">
        <v>600</v>
      </c>
      <c r="K6" s="9">
        <v>5</v>
      </c>
      <c r="L6" s="43">
        <v>4</v>
      </c>
      <c r="R6" s="9" t="s">
        <v>158</v>
      </c>
    </row>
    <row r="7" spans="1:19" s="9" customFormat="1" x14ac:dyDescent="0.25">
      <c r="A7" s="9" t="s">
        <v>325</v>
      </c>
      <c r="B7" s="9">
        <v>175</v>
      </c>
      <c r="D7" s="43">
        <v>0.2</v>
      </c>
      <c r="G7" s="9">
        <v>300</v>
      </c>
      <c r="J7" s="9">
        <v>720</v>
      </c>
      <c r="K7" s="9">
        <v>6</v>
      </c>
      <c r="L7" s="43">
        <v>4</v>
      </c>
      <c r="R7" s="9" t="s">
        <v>158</v>
      </c>
    </row>
    <row r="8" spans="1:19" s="9" customFormat="1" x14ac:dyDescent="0.25">
      <c r="A8" s="9" t="s">
        <v>326</v>
      </c>
      <c r="B8" s="9">
        <v>175</v>
      </c>
      <c r="D8" s="43">
        <f>1/3</f>
        <v>0.33333333333333331</v>
      </c>
      <c r="G8" s="9">
        <v>330</v>
      </c>
      <c r="J8" s="9">
        <v>396</v>
      </c>
      <c r="K8" s="9">
        <v>3</v>
      </c>
      <c r="L8" s="43">
        <v>4</v>
      </c>
      <c r="R8" s="9" t="s">
        <v>158</v>
      </c>
      <c r="S8" s="9" t="s">
        <v>329</v>
      </c>
    </row>
    <row r="9" spans="1:19" s="9" customFormat="1" x14ac:dyDescent="0.25">
      <c r="A9" s="9" t="s">
        <v>327</v>
      </c>
      <c r="B9" s="9">
        <v>175</v>
      </c>
      <c r="D9" s="43">
        <f>1/3</f>
        <v>0.33333333333333331</v>
      </c>
      <c r="G9" s="9">
        <v>525</v>
      </c>
      <c r="R9" s="9" t="s">
        <v>158</v>
      </c>
    </row>
    <row r="10" spans="1:19" s="9" customFormat="1" x14ac:dyDescent="0.25"/>
    <row r="11" spans="1:19" s="9" customFormat="1" x14ac:dyDescent="0.25">
      <c r="A11" s="1" t="s">
        <v>352</v>
      </c>
      <c r="B11" s="9">
        <v>0</v>
      </c>
      <c r="F11" s="9">
        <v>120</v>
      </c>
      <c r="Q11" s="9">
        <v>20</v>
      </c>
      <c r="S11" s="9" t="s">
        <v>510</v>
      </c>
    </row>
    <row r="12" spans="1:19" s="9" customFormat="1" x14ac:dyDescent="0.25">
      <c r="A12" s="9" t="s">
        <v>353</v>
      </c>
      <c r="B12" s="9">
        <v>0</v>
      </c>
      <c r="F12" s="9">
        <v>120</v>
      </c>
      <c r="Q12" s="9">
        <v>20</v>
      </c>
      <c r="S12" s="9" t="s">
        <v>358</v>
      </c>
    </row>
    <row r="13" spans="1:19" s="9" customFormat="1" x14ac:dyDescent="0.25">
      <c r="A13" s="9" t="s">
        <v>354</v>
      </c>
      <c r="B13" s="9">
        <v>0</v>
      </c>
      <c r="F13" s="9">
        <v>120</v>
      </c>
      <c r="Q13" s="9">
        <v>20</v>
      </c>
      <c r="S13" s="9" t="s">
        <v>359</v>
      </c>
    </row>
    <row r="14" spans="1:19" s="9" customFormat="1" x14ac:dyDescent="0.25">
      <c r="A14" s="9" t="s">
        <v>355</v>
      </c>
      <c r="B14" s="9">
        <v>0</v>
      </c>
      <c r="F14" s="9">
        <v>120</v>
      </c>
      <c r="O14" s="9">
        <v>30</v>
      </c>
      <c r="Q14" s="9">
        <v>20</v>
      </c>
      <c r="S14" s="9" t="s">
        <v>511</v>
      </c>
    </row>
    <row r="15" spans="1:19" s="9" customFormat="1" x14ac:dyDescent="0.25">
      <c r="A15" s="9" t="s">
        <v>356</v>
      </c>
      <c r="B15" s="9">
        <v>0</v>
      </c>
      <c r="F15" s="9">
        <v>120</v>
      </c>
      <c r="Q15" s="9">
        <v>20</v>
      </c>
      <c r="S15" s="9" t="s">
        <v>360</v>
      </c>
    </row>
    <row r="16" spans="1:19" s="9" customFormat="1" x14ac:dyDescent="0.25">
      <c r="A16" s="9" t="s">
        <v>357</v>
      </c>
      <c r="B16" s="9">
        <v>0</v>
      </c>
      <c r="F16" s="9">
        <v>120</v>
      </c>
      <c r="Q16" s="9">
        <v>20</v>
      </c>
      <c r="S16" s="9" t="s">
        <v>361</v>
      </c>
    </row>
    <row r="17" spans="1:19" s="9" customFormat="1" x14ac:dyDescent="0.25"/>
    <row r="18" spans="1:19" x14ac:dyDescent="0.25">
      <c r="A18" s="1" t="s">
        <v>148</v>
      </c>
      <c r="B18">
        <v>0</v>
      </c>
      <c r="D18">
        <f>1/9</f>
        <v>0.1111111111111111</v>
      </c>
      <c r="G18">
        <v>324</v>
      </c>
      <c r="L18">
        <v>4</v>
      </c>
      <c r="R18" t="s">
        <v>155</v>
      </c>
      <c r="S18" t="s">
        <v>156</v>
      </c>
    </row>
    <row r="19" spans="1:19" x14ac:dyDescent="0.25">
      <c r="A19" t="s">
        <v>150</v>
      </c>
      <c r="B19">
        <v>0</v>
      </c>
      <c r="D19" s="72">
        <f>1/9</f>
        <v>0.1111111111111111</v>
      </c>
      <c r="G19">
        <v>382</v>
      </c>
      <c r="L19" s="43">
        <v>4</v>
      </c>
      <c r="R19" t="s">
        <v>158</v>
      </c>
      <c r="S19" t="s">
        <v>157</v>
      </c>
    </row>
    <row r="20" spans="1:19" x14ac:dyDescent="0.25">
      <c r="A20" t="s">
        <v>151</v>
      </c>
      <c r="B20">
        <v>0</v>
      </c>
      <c r="D20">
        <v>0.15</v>
      </c>
      <c r="J20">
        <v>1575</v>
      </c>
      <c r="K20">
        <v>15</v>
      </c>
      <c r="L20">
        <v>2</v>
      </c>
      <c r="R20" t="s">
        <v>158</v>
      </c>
      <c r="S20" t="s">
        <v>159</v>
      </c>
    </row>
    <row r="21" spans="1:19" x14ac:dyDescent="0.25">
      <c r="A21" t="s">
        <v>152</v>
      </c>
      <c r="B21">
        <v>0</v>
      </c>
      <c r="D21">
        <f>1/9</f>
        <v>0.1111111111111111</v>
      </c>
      <c r="G21">
        <v>324</v>
      </c>
      <c r="L21">
        <v>4</v>
      </c>
      <c r="R21" t="s">
        <v>155</v>
      </c>
      <c r="S21" t="s">
        <v>160</v>
      </c>
    </row>
    <row r="22" spans="1:19" x14ac:dyDescent="0.25">
      <c r="A22" t="s">
        <v>153</v>
      </c>
      <c r="B22">
        <v>0</v>
      </c>
      <c r="D22" s="72">
        <f t="shared" ref="D22:D23" si="0">1/9</f>
        <v>0.1111111111111111</v>
      </c>
      <c r="G22">
        <v>324</v>
      </c>
      <c r="L22">
        <v>4</v>
      </c>
      <c r="R22" t="s">
        <v>214</v>
      </c>
      <c r="S22" t="s">
        <v>161</v>
      </c>
    </row>
    <row r="23" spans="1:19" x14ac:dyDescent="0.25">
      <c r="A23" t="s">
        <v>154</v>
      </c>
      <c r="B23">
        <v>0</v>
      </c>
      <c r="D23" s="72">
        <f t="shared" si="0"/>
        <v>0.1111111111111111</v>
      </c>
      <c r="G23">
        <v>400</v>
      </c>
      <c r="L23">
        <v>4</v>
      </c>
      <c r="R23" t="s">
        <v>162</v>
      </c>
    </row>
    <row r="24" spans="1:19" s="9" customFormat="1" x14ac:dyDescent="0.25"/>
    <row r="25" spans="1:19" s="9" customFormat="1" x14ac:dyDescent="0.25">
      <c r="A25" s="1" t="s">
        <v>362</v>
      </c>
      <c r="B25" s="9">
        <v>0</v>
      </c>
      <c r="F25" s="9">
        <v>120</v>
      </c>
      <c r="G25" s="9">
        <v>180</v>
      </c>
      <c r="R25" s="9" t="s">
        <v>155</v>
      </c>
      <c r="S25" s="9" t="s">
        <v>363</v>
      </c>
    </row>
    <row r="26" spans="1:19" s="9" customFormat="1" x14ac:dyDescent="0.25">
      <c r="A26" s="9" t="s">
        <v>364</v>
      </c>
      <c r="B26" s="9">
        <v>0</v>
      </c>
      <c r="D26" s="9">
        <f>1/10</f>
        <v>0.1</v>
      </c>
      <c r="F26" s="9">
        <v>120</v>
      </c>
      <c r="G26" s="9">
        <v>180</v>
      </c>
      <c r="H26" s="9">
        <v>250</v>
      </c>
      <c r="R26" s="9" t="s">
        <v>214</v>
      </c>
      <c r="S26" s="9" t="s">
        <v>584</v>
      </c>
    </row>
    <row r="27" spans="1:19" s="9" customFormat="1" x14ac:dyDescent="0.25">
      <c r="A27" s="9" t="s">
        <v>365</v>
      </c>
      <c r="B27" s="9">
        <v>0</v>
      </c>
      <c r="F27" s="9">
        <v>90</v>
      </c>
      <c r="G27" s="9">
        <v>180</v>
      </c>
      <c r="R27" s="9" t="s">
        <v>155</v>
      </c>
    </row>
    <row r="28" spans="1:19" s="9" customFormat="1" x14ac:dyDescent="0.25">
      <c r="A28" s="9" t="s">
        <v>366</v>
      </c>
      <c r="B28" s="9">
        <v>0</v>
      </c>
      <c r="F28" s="9">
        <v>120</v>
      </c>
      <c r="G28" s="9">
        <v>180</v>
      </c>
      <c r="R28" s="9" t="s">
        <v>155</v>
      </c>
      <c r="S28" s="9" t="s">
        <v>369</v>
      </c>
    </row>
    <row r="29" spans="1:19" s="9" customFormat="1" x14ac:dyDescent="0.25">
      <c r="A29" s="9" t="s">
        <v>367</v>
      </c>
      <c r="B29" s="9">
        <v>0</v>
      </c>
      <c r="F29" s="9">
        <v>120</v>
      </c>
      <c r="G29" s="9">
        <v>180</v>
      </c>
      <c r="H29" s="9">
        <v>85</v>
      </c>
      <c r="R29" s="9" t="s">
        <v>162</v>
      </c>
      <c r="S29" s="9" t="s">
        <v>370</v>
      </c>
    </row>
    <row r="30" spans="1:19" s="9" customFormat="1" x14ac:dyDescent="0.25">
      <c r="A30" s="9" t="s">
        <v>368</v>
      </c>
      <c r="B30" s="9">
        <v>0</v>
      </c>
      <c r="F30" s="9">
        <v>120</v>
      </c>
      <c r="G30" s="9">
        <v>180</v>
      </c>
      <c r="H30" s="9">
        <v>130</v>
      </c>
      <c r="R30" s="9" t="s">
        <v>158</v>
      </c>
      <c r="S30" s="9" t="s">
        <v>371</v>
      </c>
    </row>
    <row r="32" spans="1:19" x14ac:dyDescent="0.25">
      <c r="A32" s="1" t="s">
        <v>203</v>
      </c>
      <c r="B32">
        <v>150</v>
      </c>
      <c r="C32">
        <v>75</v>
      </c>
      <c r="D32">
        <f>1/6</f>
        <v>0.16666666666666666</v>
      </c>
      <c r="G32">
        <v>425</v>
      </c>
      <c r="L32">
        <v>2</v>
      </c>
      <c r="M32">
        <v>2</v>
      </c>
      <c r="R32" t="s">
        <v>162</v>
      </c>
    </row>
    <row r="33" spans="1:19" x14ac:dyDescent="0.25">
      <c r="A33" t="s">
        <v>204</v>
      </c>
      <c r="B33" s="80">
        <v>150</v>
      </c>
      <c r="C33">
        <v>75</v>
      </c>
      <c r="D33">
        <f>1/3</f>
        <v>0.33333333333333331</v>
      </c>
      <c r="G33">
        <v>495</v>
      </c>
      <c r="M33" s="40"/>
      <c r="R33" t="s">
        <v>162</v>
      </c>
      <c r="S33" t="s">
        <v>205</v>
      </c>
    </row>
    <row r="34" spans="1:19" x14ac:dyDescent="0.25">
      <c r="A34" t="s">
        <v>206</v>
      </c>
      <c r="B34" s="80">
        <v>225</v>
      </c>
      <c r="C34">
        <v>0</v>
      </c>
      <c r="D34">
        <f>1/6</f>
        <v>0.16666666666666666</v>
      </c>
      <c r="G34">
        <v>425</v>
      </c>
      <c r="L34">
        <v>2</v>
      </c>
      <c r="M34" s="40">
        <v>2</v>
      </c>
      <c r="R34" t="s">
        <v>162</v>
      </c>
      <c r="S34" t="s">
        <v>210</v>
      </c>
    </row>
    <row r="35" spans="1:19" x14ac:dyDescent="0.25">
      <c r="A35" t="s">
        <v>207</v>
      </c>
      <c r="B35" s="80">
        <v>150</v>
      </c>
      <c r="C35">
        <v>75</v>
      </c>
      <c r="D35">
        <f>1/6</f>
        <v>0.16666666666666666</v>
      </c>
      <c r="J35">
        <v>638</v>
      </c>
      <c r="K35">
        <v>5</v>
      </c>
      <c r="L35">
        <v>2</v>
      </c>
      <c r="M35" s="40">
        <v>2</v>
      </c>
      <c r="R35" t="s">
        <v>158</v>
      </c>
      <c r="S35" t="s">
        <v>459</v>
      </c>
    </row>
    <row r="36" spans="1:19" x14ac:dyDescent="0.25">
      <c r="A36" t="s">
        <v>208</v>
      </c>
      <c r="B36" s="80">
        <v>150</v>
      </c>
      <c r="C36">
        <v>75</v>
      </c>
      <c r="D36">
        <f>1/2</f>
        <v>0.5</v>
      </c>
      <c r="G36">
        <v>635</v>
      </c>
      <c r="L36">
        <v>2</v>
      </c>
      <c r="M36" s="40">
        <v>2</v>
      </c>
      <c r="R36" t="s">
        <v>162</v>
      </c>
      <c r="S36" t="s">
        <v>211</v>
      </c>
    </row>
    <row r="37" spans="1:19" x14ac:dyDescent="0.25">
      <c r="A37" t="s">
        <v>209</v>
      </c>
      <c r="B37" s="80">
        <v>150</v>
      </c>
      <c r="C37">
        <v>75</v>
      </c>
      <c r="D37">
        <f>1/4</f>
        <v>0.25</v>
      </c>
      <c r="G37">
        <v>850</v>
      </c>
      <c r="L37">
        <v>2</v>
      </c>
      <c r="M37" s="40">
        <v>2</v>
      </c>
      <c r="R37" t="s">
        <v>162</v>
      </c>
      <c r="S37" t="s">
        <v>212</v>
      </c>
    </row>
    <row r="39" spans="1:19" x14ac:dyDescent="0.25">
      <c r="A39" s="1" t="s">
        <v>163</v>
      </c>
      <c r="B39">
        <v>0</v>
      </c>
      <c r="D39">
        <f>2/3</f>
        <v>0.66666666666666663</v>
      </c>
      <c r="G39">
        <v>155</v>
      </c>
      <c r="R39" t="s">
        <v>162</v>
      </c>
      <c r="S39" t="s">
        <v>164</v>
      </c>
    </row>
    <row r="40" spans="1:19" x14ac:dyDescent="0.25">
      <c r="A40" s="38" t="s">
        <v>165</v>
      </c>
      <c r="B40">
        <v>0</v>
      </c>
      <c r="D40">
        <f>1/5</f>
        <v>0.2</v>
      </c>
      <c r="G40">
        <v>155</v>
      </c>
      <c r="I40">
        <v>6</v>
      </c>
      <c r="R40" t="s">
        <v>162</v>
      </c>
      <c r="S40" t="s">
        <v>166</v>
      </c>
    </row>
    <row r="41" spans="1:19" x14ac:dyDescent="0.25">
      <c r="A41" s="38" t="s">
        <v>167</v>
      </c>
      <c r="B41">
        <v>0</v>
      </c>
      <c r="D41">
        <f>1/5</f>
        <v>0.2</v>
      </c>
      <c r="G41">
        <v>155</v>
      </c>
      <c r="R41" t="s">
        <v>162</v>
      </c>
      <c r="S41" t="s">
        <v>168</v>
      </c>
    </row>
    <row r="42" spans="1:19" x14ac:dyDescent="0.25">
      <c r="A42" s="38" t="s">
        <v>169</v>
      </c>
      <c r="B42">
        <v>0</v>
      </c>
      <c r="D42">
        <f>1/15</f>
        <v>6.6666666666666666E-2</v>
      </c>
      <c r="G42">
        <v>155</v>
      </c>
      <c r="J42">
        <v>60</v>
      </c>
      <c r="K42">
        <v>3</v>
      </c>
      <c r="L42">
        <v>2</v>
      </c>
      <c r="R42" t="s">
        <v>162</v>
      </c>
      <c r="S42" t="s">
        <v>170</v>
      </c>
    </row>
    <row r="43" spans="1:19" x14ac:dyDescent="0.25">
      <c r="A43" s="38" t="s">
        <v>171</v>
      </c>
      <c r="B43">
        <v>0</v>
      </c>
      <c r="D43">
        <f>1/10</f>
        <v>0.1</v>
      </c>
      <c r="J43">
        <v>880</v>
      </c>
      <c r="K43">
        <v>6</v>
      </c>
      <c r="L43">
        <v>3</v>
      </c>
      <c r="R43" t="s">
        <v>162</v>
      </c>
      <c r="S43" t="s">
        <v>172</v>
      </c>
    </row>
    <row r="44" spans="1:19" x14ac:dyDescent="0.25">
      <c r="A44" s="38" t="s">
        <v>173</v>
      </c>
      <c r="B44">
        <v>0</v>
      </c>
      <c r="D44">
        <f>1/6</f>
        <v>0.16666666666666666</v>
      </c>
      <c r="G44">
        <v>155</v>
      </c>
      <c r="H44">
        <v>30</v>
      </c>
      <c r="R44" t="s">
        <v>162</v>
      </c>
      <c r="S44" t="s">
        <v>174</v>
      </c>
    </row>
    <row r="45" spans="1:19" s="9" customFormat="1" x14ac:dyDescent="0.25">
      <c r="A45" s="38"/>
    </row>
    <row r="46" spans="1:19" s="9" customFormat="1" x14ac:dyDescent="0.25">
      <c r="A46" s="11" t="s">
        <v>343</v>
      </c>
      <c r="B46" s="9">
        <v>0</v>
      </c>
      <c r="D46" s="9">
        <v>0</v>
      </c>
      <c r="F46" s="9">
        <v>60</v>
      </c>
      <c r="G46" s="9">
        <v>100</v>
      </c>
      <c r="R46" s="9" t="s">
        <v>155</v>
      </c>
    </row>
    <row r="47" spans="1:19" s="9" customFormat="1" x14ac:dyDescent="0.25">
      <c r="A47" s="38" t="s">
        <v>344</v>
      </c>
      <c r="B47" s="9">
        <v>0</v>
      </c>
      <c r="D47" s="9">
        <v>0</v>
      </c>
      <c r="F47" s="9">
        <v>60</v>
      </c>
      <c r="G47" s="9">
        <v>130</v>
      </c>
      <c r="R47" s="9" t="s">
        <v>214</v>
      </c>
      <c r="S47" s="9" t="s">
        <v>348</v>
      </c>
    </row>
    <row r="48" spans="1:19" s="9" customFormat="1" x14ac:dyDescent="0.25">
      <c r="A48" s="38" t="s">
        <v>493</v>
      </c>
      <c r="B48" s="9">
        <v>0</v>
      </c>
      <c r="D48" s="9">
        <v>0</v>
      </c>
      <c r="F48" s="9">
        <v>60</v>
      </c>
      <c r="G48" s="9">
        <v>100</v>
      </c>
      <c r="R48" s="9" t="s">
        <v>155</v>
      </c>
      <c r="S48" s="9" t="s">
        <v>350</v>
      </c>
    </row>
    <row r="49" spans="1:19" s="9" customFormat="1" x14ac:dyDescent="0.25">
      <c r="A49" s="38" t="s">
        <v>345</v>
      </c>
      <c r="B49" s="9">
        <v>0</v>
      </c>
      <c r="D49" s="9">
        <v>0</v>
      </c>
      <c r="F49" s="9">
        <v>60</v>
      </c>
      <c r="G49" s="9">
        <v>575</v>
      </c>
      <c r="R49" s="9" t="s">
        <v>162</v>
      </c>
      <c r="S49" s="9" t="s">
        <v>349</v>
      </c>
    </row>
    <row r="50" spans="1:19" s="9" customFormat="1" x14ac:dyDescent="0.25">
      <c r="A50" s="38" t="s">
        <v>346</v>
      </c>
      <c r="B50" s="9">
        <v>0</v>
      </c>
      <c r="D50" s="9">
        <v>0</v>
      </c>
      <c r="F50" s="9">
        <v>60</v>
      </c>
      <c r="G50" s="9">
        <v>100</v>
      </c>
      <c r="J50" s="9">
        <v>45</v>
      </c>
      <c r="R50" s="9" t="s">
        <v>158</v>
      </c>
    </row>
    <row r="51" spans="1:19" s="9" customFormat="1" x14ac:dyDescent="0.25">
      <c r="A51" s="38" t="s">
        <v>347</v>
      </c>
      <c r="B51" s="9">
        <v>0</v>
      </c>
      <c r="D51" s="9">
        <v>0</v>
      </c>
      <c r="F51" s="9">
        <v>60</v>
      </c>
      <c r="G51" s="9">
        <v>200</v>
      </c>
      <c r="H51" s="9">
        <v>200</v>
      </c>
      <c r="R51" s="9" t="s">
        <v>162</v>
      </c>
      <c r="S51" s="9" t="s">
        <v>351</v>
      </c>
    </row>
    <row r="52" spans="1:19" x14ac:dyDescent="0.25">
      <c r="A52" s="38"/>
    </row>
    <row r="53" spans="1:19" x14ac:dyDescent="0.25">
      <c r="A53" s="11" t="s">
        <v>192</v>
      </c>
      <c r="B53">
        <v>150</v>
      </c>
      <c r="D53">
        <f>1/15</f>
        <v>6.6666666666666666E-2</v>
      </c>
      <c r="F53">
        <v>8</v>
      </c>
      <c r="J53">
        <v>560</v>
      </c>
      <c r="K53">
        <v>8</v>
      </c>
      <c r="L53">
        <v>2</v>
      </c>
      <c r="R53" t="s">
        <v>155</v>
      </c>
      <c r="S53" t="s">
        <v>193</v>
      </c>
    </row>
    <row r="54" spans="1:19" x14ac:dyDescent="0.25">
      <c r="A54" s="38" t="s">
        <v>194</v>
      </c>
      <c r="B54">
        <v>150</v>
      </c>
      <c r="D54" s="72">
        <f t="shared" ref="D54:D58" si="1">1/15</f>
        <v>6.6666666666666666E-2</v>
      </c>
      <c r="F54">
        <v>8</v>
      </c>
      <c r="J54">
        <v>560</v>
      </c>
      <c r="K54">
        <v>8</v>
      </c>
      <c r="L54" s="43">
        <v>2</v>
      </c>
      <c r="R54" t="s">
        <v>155</v>
      </c>
      <c r="S54" t="s">
        <v>195</v>
      </c>
    </row>
    <row r="55" spans="1:19" x14ac:dyDescent="0.25">
      <c r="A55" s="38" t="s">
        <v>196</v>
      </c>
      <c r="B55">
        <v>150</v>
      </c>
      <c r="D55" s="72">
        <f t="shared" si="1"/>
        <v>6.6666666666666666E-2</v>
      </c>
      <c r="F55">
        <v>8</v>
      </c>
      <c r="J55">
        <v>880</v>
      </c>
      <c r="K55">
        <v>8</v>
      </c>
      <c r="L55" s="43">
        <v>2</v>
      </c>
      <c r="R55" t="s">
        <v>155</v>
      </c>
    </row>
    <row r="56" spans="1:19" x14ac:dyDescent="0.25">
      <c r="A56" s="38" t="s">
        <v>197</v>
      </c>
      <c r="B56">
        <v>150</v>
      </c>
      <c r="D56" s="72">
        <f t="shared" si="1"/>
        <v>6.6666666666666666E-2</v>
      </c>
      <c r="F56">
        <v>8</v>
      </c>
      <c r="J56">
        <v>560</v>
      </c>
      <c r="K56">
        <v>8</v>
      </c>
      <c r="L56" s="43">
        <v>2</v>
      </c>
      <c r="R56" t="s">
        <v>155</v>
      </c>
      <c r="S56" t="s">
        <v>198</v>
      </c>
    </row>
    <row r="57" spans="1:19" x14ac:dyDescent="0.25">
      <c r="A57" s="38" t="s">
        <v>199</v>
      </c>
      <c r="B57">
        <v>150</v>
      </c>
      <c r="D57" s="72">
        <f t="shared" si="1"/>
        <v>6.6666666666666666E-2</v>
      </c>
      <c r="F57">
        <v>6</v>
      </c>
      <c r="J57">
        <v>560</v>
      </c>
      <c r="K57">
        <v>8</v>
      </c>
      <c r="L57" s="43">
        <v>2</v>
      </c>
      <c r="R57" t="s">
        <v>155</v>
      </c>
    </row>
    <row r="58" spans="1:19" x14ac:dyDescent="0.25">
      <c r="A58" s="38" t="s">
        <v>200</v>
      </c>
      <c r="B58">
        <v>150</v>
      </c>
      <c r="D58" s="72">
        <f t="shared" si="1"/>
        <v>6.6666666666666666E-2</v>
      </c>
      <c r="F58">
        <v>8</v>
      </c>
      <c r="J58">
        <v>980</v>
      </c>
      <c r="K58">
        <v>8</v>
      </c>
      <c r="L58" s="43">
        <v>4</v>
      </c>
      <c r="R58" t="s">
        <v>155</v>
      </c>
      <c r="S58" t="s">
        <v>201</v>
      </c>
    </row>
    <row r="59" spans="1:19" x14ac:dyDescent="0.25">
      <c r="A59" s="38"/>
    </row>
    <row r="60" spans="1:19" x14ac:dyDescent="0.25">
      <c r="A60" s="11" t="s">
        <v>213</v>
      </c>
      <c r="B60">
        <v>50</v>
      </c>
      <c r="D60">
        <v>1</v>
      </c>
      <c r="J60">
        <v>4000</v>
      </c>
      <c r="K60">
        <v>12</v>
      </c>
      <c r="L60">
        <v>1</v>
      </c>
      <c r="R60" t="s">
        <v>214</v>
      </c>
      <c r="S60" t="s">
        <v>433</v>
      </c>
    </row>
    <row r="61" spans="1:19" x14ac:dyDescent="0.25">
      <c r="A61" s="38" t="s">
        <v>215</v>
      </c>
      <c r="B61" s="79">
        <v>50</v>
      </c>
      <c r="D61" s="72">
        <v>1</v>
      </c>
      <c r="J61" s="79">
        <v>4000</v>
      </c>
      <c r="K61" s="79">
        <v>12</v>
      </c>
      <c r="L61" s="72">
        <v>1</v>
      </c>
      <c r="R61" t="s">
        <v>162</v>
      </c>
      <c r="S61" t="s">
        <v>572</v>
      </c>
    </row>
    <row r="62" spans="1:19" x14ac:dyDescent="0.25">
      <c r="A62" s="38" t="s">
        <v>216</v>
      </c>
      <c r="B62" s="79">
        <v>50</v>
      </c>
      <c r="D62" s="72">
        <v>1</v>
      </c>
      <c r="J62" s="79">
        <v>4000</v>
      </c>
      <c r="K62" s="79">
        <v>12</v>
      </c>
      <c r="L62" s="72">
        <v>1</v>
      </c>
      <c r="R62" t="s">
        <v>214</v>
      </c>
      <c r="S62" t="s">
        <v>219</v>
      </c>
    </row>
    <row r="63" spans="1:19" x14ac:dyDescent="0.25">
      <c r="A63" s="38" t="s">
        <v>217</v>
      </c>
      <c r="B63" s="79">
        <v>50</v>
      </c>
      <c r="D63" s="72">
        <v>1</v>
      </c>
      <c r="J63" s="79">
        <v>4000</v>
      </c>
      <c r="K63" s="79">
        <v>12</v>
      </c>
      <c r="L63" s="72">
        <v>1</v>
      </c>
      <c r="R63" t="s">
        <v>214</v>
      </c>
      <c r="S63" t="s">
        <v>220</v>
      </c>
    </row>
    <row r="64" spans="1:19" x14ac:dyDescent="0.25">
      <c r="A64" s="38" t="s">
        <v>564</v>
      </c>
      <c r="B64" s="79">
        <v>50</v>
      </c>
      <c r="D64" s="72">
        <v>1</v>
      </c>
      <c r="J64" s="79">
        <v>4000</v>
      </c>
      <c r="K64" s="79">
        <v>12</v>
      </c>
      <c r="L64" s="72">
        <v>1</v>
      </c>
      <c r="P64">
        <v>20</v>
      </c>
      <c r="R64" t="s">
        <v>158</v>
      </c>
      <c r="S64" t="s">
        <v>563</v>
      </c>
    </row>
    <row r="65" spans="1:19" x14ac:dyDescent="0.25">
      <c r="A65" s="38" t="s">
        <v>218</v>
      </c>
      <c r="B65" s="79">
        <v>50</v>
      </c>
      <c r="D65" s="72">
        <v>1</v>
      </c>
      <c r="J65" s="79">
        <v>4000</v>
      </c>
      <c r="K65" s="79">
        <v>12</v>
      </c>
      <c r="L65" s="72">
        <v>1</v>
      </c>
      <c r="R65" t="s">
        <v>214</v>
      </c>
      <c r="S65" t="s">
        <v>221</v>
      </c>
    </row>
    <row r="66" spans="1:19" x14ac:dyDescent="0.25">
      <c r="A66" s="38"/>
    </row>
    <row r="67" spans="1:19" x14ac:dyDescent="0.25">
      <c r="A67" s="11" t="s">
        <v>259</v>
      </c>
      <c r="B67">
        <v>0</v>
      </c>
      <c r="F67">
        <v>15</v>
      </c>
      <c r="P67">
        <v>10</v>
      </c>
      <c r="S67" t="s">
        <v>260</v>
      </c>
    </row>
    <row r="68" spans="1:19" x14ac:dyDescent="0.25">
      <c r="A68" s="38" t="s">
        <v>261</v>
      </c>
      <c r="B68">
        <v>0</v>
      </c>
      <c r="F68">
        <v>15</v>
      </c>
      <c r="P68">
        <v>10</v>
      </c>
      <c r="S68" t="s">
        <v>266</v>
      </c>
    </row>
    <row r="69" spans="1:19" x14ac:dyDescent="0.25">
      <c r="A69" s="38" t="s">
        <v>262</v>
      </c>
      <c r="B69">
        <v>0</v>
      </c>
      <c r="F69">
        <v>15</v>
      </c>
      <c r="P69">
        <v>20</v>
      </c>
    </row>
    <row r="70" spans="1:19" x14ac:dyDescent="0.25">
      <c r="A70" s="38" t="s">
        <v>263</v>
      </c>
      <c r="B70">
        <v>0</v>
      </c>
      <c r="D70">
        <f>1/3</f>
        <v>0.33333333333333331</v>
      </c>
      <c r="F70">
        <v>15</v>
      </c>
      <c r="G70">
        <v>1350</v>
      </c>
      <c r="R70" t="s">
        <v>155</v>
      </c>
      <c r="S70" t="s">
        <v>267</v>
      </c>
    </row>
    <row r="71" spans="1:19" x14ac:dyDescent="0.25">
      <c r="A71" s="38" t="s">
        <v>264</v>
      </c>
      <c r="B71">
        <v>0</v>
      </c>
      <c r="F71">
        <v>15</v>
      </c>
      <c r="J71">
        <v>580</v>
      </c>
      <c r="K71">
        <v>5</v>
      </c>
      <c r="P71">
        <v>10</v>
      </c>
      <c r="R71" t="s">
        <v>158</v>
      </c>
      <c r="S71" t="s">
        <v>516</v>
      </c>
    </row>
    <row r="72" spans="1:19" x14ac:dyDescent="0.25">
      <c r="A72" s="38" t="s">
        <v>265</v>
      </c>
      <c r="B72">
        <v>0</v>
      </c>
      <c r="F72">
        <v>15</v>
      </c>
      <c r="G72">
        <v>135</v>
      </c>
      <c r="P72">
        <v>10</v>
      </c>
      <c r="R72" t="s">
        <v>158</v>
      </c>
      <c r="S72" t="s">
        <v>268</v>
      </c>
    </row>
    <row r="73" spans="1:19" x14ac:dyDescent="0.25">
      <c r="A73" s="38"/>
    </row>
    <row r="74" spans="1:19" x14ac:dyDescent="0.25">
      <c r="A74" s="11" t="s">
        <v>236</v>
      </c>
      <c r="B74">
        <v>0</v>
      </c>
      <c r="F74">
        <v>12</v>
      </c>
      <c r="S74" t="s">
        <v>517</v>
      </c>
    </row>
    <row r="75" spans="1:19" x14ac:dyDescent="0.25">
      <c r="A75" s="38" t="s">
        <v>237</v>
      </c>
      <c r="B75">
        <v>0</v>
      </c>
      <c r="F75" s="80">
        <v>12</v>
      </c>
      <c r="S75" t="s">
        <v>246</v>
      </c>
    </row>
    <row r="76" spans="1:19" x14ac:dyDescent="0.25">
      <c r="A76" s="38" t="s">
        <v>238</v>
      </c>
      <c r="B76">
        <v>0</v>
      </c>
      <c r="F76" s="80">
        <v>12</v>
      </c>
      <c r="S76" t="s">
        <v>245</v>
      </c>
    </row>
    <row r="77" spans="1:19" x14ac:dyDescent="0.25">
      <c r="A77" s="38" t="s">
        <v>239</v>
      </c>
      <c r="B77">
        <v>0</v>
      </c>
      <c r="F77" s="80">
        <v>12</v>
      </c>
      <c r="S77" t="s">
        <v>244</v>
      </c>
    </row>
    <row r="78" spans="1:19" x14ac:dyDescent="0.25">
      <c r="A78" s="38" t="s">
        <v>240</v>
      </c>
      <c r="B78">
        <v>0</v>
      </c>
      <c r="F78" s="80">
        <v>12</v>
      </c>
      <c r="S78" t="s">
        <v>242</v>
      </c>
    </row>
    <row r="79" spans="1:19" x14ac:dyDescent="0.25">
      <c r="A79" s="38" t="s">
        <v>241</v>
      </c>
      <c r="B79">
        <v>0</v>
      </c>
      <c r="F79" s="80">
        <v>12</v>
      </c>
      <c r="S79" t="s">
        <v>243</v>
      </c>
    </row>
    <row r="80" spans="1:19" x14ac:dyDescent="0.25">
      <c r="A80" s="38"/>
    </row>
    <row r="81" spans="1:19" x14ac:dyDescent="0.25">
      <c r="A81" s="11" t="s">
        <v>222</v>
      </c>
      <c r="B81">
        <v>300</v>
      </c>
      <c r="D81">
        <f>1/3</f>
        <v>0.33333333333333331</v>
      </c>
      <c r="J81">
        <v>1040</v>
      </c>
      <c r="K81">
        <v>8</v>
      </c>
      <c r="L81">
        <v>1</v>
      </c>
      <c r="R81" t="s">
        <v>158</v>
      </c>
      <c r="S81" t="s">
        <v>432</v>
      </c>
    </row>
    <row r="82" spans="1:19" x14ac:dyDescent="0.25">
      <c r="A82" s="38" t="s">
        <v>223</v>
      </c>
      <c r="B82">
        <v>300</v>
      </c>
      <c r="D82" s="43">
        <f t="shared" ref="D82:D86" si="2">1/3</f>
        <v>0.33333333333333331</v>
      </c>
      <c r="J82">
        <v>1040</v>
      </c>
      <c r="K82">
        <v>8</v>
      </c>
      <c r="L82" s="43">
        <v>1</v>
      </c>
      <c r="R82" t="s">
        <v>158</v>
      </c>
      <c r="S82" t="s">
        <v>228</v>
      </c>
    </row>
    <row r="83" spans="1:19" x14ac:dyDescent="0.25">
      <c r="A83" s="38" t="s">
        <v>224</v>
      </c>
      <c r="B83">
        <v>300</v>
      </c>
      <c r="D83" s="43">
        <f t="shared" si="2"/>
        <v>0.33333333333333331</v>
      </c>
      <c r="J83">
        <v>1040</v>
      </c>
      <c r="K83">
        <v>8</v>
      </c>
      <c r="L83" s="43">
        <v>1</v>
      </c>
      <c r="R83" t="s">
        <v>158</v>
      </c>
      <c r="S83" t="s">
        <v>229</v>
      </c>
    </row>
    <row r="84" spans="1:19" x14ac:dyDescent="0.25">
      <c r="A84" s="38" t="s">
        <v>225</v>
      </c>
      <c r="B84">
        <v>300</v>
      </c>
      <c r="D84" s="43">
        <f t="shared" si="2"/>
        <v>0.33333333333333331</v>
      </c>
      <c r="J84">
        <v>2080</v>
      </c>
      <c r="K84">
        <v>16</v>
      </c>
      <c r="L84" s="43">
        <v>1</v>
      </c>
      <c r="R84" t="s">
        <v>158</v>
      </c>
    </row>
    <row r="85" spans="1:19" x14ac:dyDescent="0.25">
      <c r="A85" s="38" t="s">
        <v>226</v>
      </c>
      <c r="B85">
        <v>300</v>
      </c>
      <c r="D85" s="43">
        <f t="shared" si="2"/>
        <v>0.33333333333333331</v>
      </c>
      <c r="J85">
        <v>1040</v>
      </c>
      <c r="K85">
        <v>8</v>
      </c>
      <c r="L85" s="43">
        <v>1</v>
      </c>
      <c r="R85" t="s">
        <v>158</v>
      </c>
      <c r="S85" t="s">
        <v>230</v>
      </c>
    </row>
    <row r="86" spans="1:19" x14ac:dyDescent="0.25">
      <c r="A86" s="38" t="s">
        <v>227</v>
      </c>
      <c r="B86">
        <v>300</v>
      </c>
      <c r="D86" s="43">
        <f t="shared" si="2"/>
        <v>0.33333333333333331</v>
      </c>
      <c r="J86">
        <v>1480</v>
      </c>
      <c r="K86">
        <v>8</v>
      </c>
      <c r="L86" s="43">
        <v>1</v>
      </c>
      <c r="R86" t="s">
        <v>162</v>
      </c>
    </row>
    <row r="87" spans="1:19" x14ac:dyDescent="0.25">
      <c r="A87" s="38"/>
    </row>
    <row r="88" spans="1:19" x14ac:dyDescent="0.25">
      <c r="A88" s="11" t="s">
        <v>291</v>
      </c>
      <c r="B88">
        <v>0</v>
      </c>
      <c r="F88">
        <v>60</v>
      </c>
      <c r="S88" t="s">
        <v>292</v>
      </c>
    </row>
    <row r="89" spans="1:19" x14ac:dyDescent="0.25">
      <c r="A89" s="38" t="s">
        <v>293</v>
      </c>
      <c r="B89">
        <v>0</v>
      </c>
      <c r="F89">
        <v>45</v>
      </c>
    </row>
    <row r="90" spans="1:19" x14ac:dyDescent="0.25">
      <c r="A90" s="38" t="s">
        <v>294</v>
      </c>
      <c r="B90">
        <v>0</v>
      </c>
      <c r="F90">
        <v>60</v>
      </c>
      <c r="S90" t="s">
        <v>298</v>
      </c>
    </row>
    <row r="91" spans="1:19" x14ac:dyDescent="0.25">
      <c r="A91" s="38" t="s">
        <v>295</v>
      </c>
      <c r="B91">
        <v>0</v>
      </c>
      <c r="F91">
        <v>60</v>
      </c>
      <c r="S91" t="s">
        <v>299</v>
      </c>
    </row>
    <row r="92" spans="1:19" x14ac:dyDescent="0.25">
      <c r="A92" s="38" t="s">
        <v>296</v>
      </c>
      <c r="B92">
        <v>0</v>
      </c>
      <c r="F92">
        <v>60</v>
      </c>
      <c r="P92">
        <v>20</v>
      </c>
    </row>
    <row r="93" spans="1:19" x14ac:dyDescent="0.25">
      <c r="A93" s="38" t="s">
        <v>297</v>
      </c>
      <c r="B93">
        <v>0</v>
      </c>
      <c r="D93">
        <f>1/8</f>
        <v>0.125</v>
      </c>
      <c r="F93">
        <v>60</v>
      </c>
      <c r="J93">
        <v>195</v>
      </c>
      <c r="L93">
        <v>4</v>
      </c>
      <c r="R93" t="s">
        <v>155</v>
      </c>
    </row>
    <row r="94" spans="1:19" s="9" customFormat="1" x14ac:dyDescent="0.25">
      <c r="A94" s="38"/>
    </row>
    <row r="95" spans="1:19" s="9" customFormat="1" x14ac:dyDescent="0.25">
      <c r="A95" s="11" t="s">
        <v>342</v>
      </c>
      <c r="B95" s="9">
        <v>250</v>
      </c>
      <c r="F95" s="9">
        <v>8</v>
      </c>
      <c r="J95" s="9">
        <v>400</v>
      </c>
      <c r="K95" s="9">
        <v>8</v>
      </c>
      <c r="P95" s="9">
        <v>15</v>
      </c>
      <c r="R95" s="9" t="s">
        <v>158</v>
      </c>
    </row>
    <row r="96" spans="1:19" s="9" customFormat="1" x14ac:dyDescent="0.25">
      <c r="A96" s="38"/>
    </row>
    <row r="97" spans="1:19" s="9" customFormat="1" x14ac:dyDescent="0.25">
      <c r="A97" s="38"/>
    </row>
    <row r="98" spans="1:19" s="9" customFormat="1" x14ac:dyDescent="0.25">
      <c r="A98" s="38"/>
    </row>
    <row r="99" spans="1:19" s="9" customFormat="1" x14ac:dyDescent="0.25">
      <c r="A99" s="38"/>
    </row>
    <row r="100" spans="1:19" s="9" customFormat="1" x14ac:dyDescent="0.25">
      <c r="A100" s="38"/>
    </row>
    <row r="102" spans="1:19" x14ac:dyDescent="0.25">
      <c r="A102" s="1" t="s">
        <v>175</v>
      </c>
      <c r="B102">
        <v>0</v>
      </c>
      <c r="D102">
        <f>2/3</f>
        <v>0.66666666666666663</v>
      </c>
      <c r="G102">
        <v>190</v>
      </c>
      <c r="I102">
        <v>3</v>
      </c>
      <c r="R102" t="s">
        <v>158</v>
      </c>
      <c r="S102" t="s">
        <v>176</v>
      </c>
    </row>
    <row r="103" spans="1:19" x14ac:dyDescent="0.25">
      <c r="A103" t="s">
        <v>177</v>
      </c>
      <c r="B103">
        <v>0</v>
      </c>
      <c r="D103">
        <f>2/3</f>
        <v>0.66666666666666663</v>
      </c>
      <c r="G103">
        <v>245</v>
      </c>
      <c r="I103">
        <v>3</v>
      </c>
      <c r="R103" t="s">
        <v>162</v>
      </c>
    </row>
    <row r="104" spans="1:19" x14ac:dyDescent="0.25">
      <c r="A104" t="s">
        <v>178</v>
      </c>
      <c r="B104">
        <v>0</v>
      </c>
      <c r="D104">
        <v>5</v>
      </c>
      <c r="G104">
        <v>130</v>
      </c>
      <c r="I104">
        <v>3</v>
      </c>
      <c r="R104" t="s">
        <v>158</v>
      </c>
      <c r="S104" t="s">
        <v>179</v>
      </c>
    </row>
    <row r="105" spans="1:19" x14ac:dyDescent="0.25">
      <c r="A105" t="s">
        <v>180</v>
      </c>
      <c r="B105">
        <v>0</v>
      </c>
      <c r="D105">
        <v>0.25</v>
      </c>
      <c r="J105">
        <v>182</v>
      </c>
      <c r="K105">
        <v>2</v>
      </c>
      <c r="L105">
        <v>2</v>
      </c>
      <c r="R105" t="s">
        <v>158</v>
      </c>
    </row>
    <row r="106" spans="1:19" x14ac:dyDescent="0.25">
      <c r="A106" t="s">
        <v>181</v>
      </c>
      <c r="B106">
        <v>0</v>
      </c>
      <c r="D106">
        <f>2/3</f>
        <v>0.66666666666666663</v>
      </c>
      <c r="G106">
        <v>190</v>
      </c>
      <c r="I106">
        <v>3</v>
      </c>
      <c r="R106" t="s">
        <v>158</v>
      </c>
      <c r="S106" t="s">
        <v>182</v>
      </c>
    </row>
    <row r="107" spans="1:19" x14ac:dyDescent="0.25">
      <c r="A107" t="s">
        <v>183</v>
      </c>
      <c r="B107">
        <v>0</v>
      </c>
      <c r="D107">
        <f>2/3</f>
        <v>0.66666666666666663</v>
      </c>
      <c r="G107">
        <v>190</v>
      </c>
      <c r="I107">
        <v>3</v>
      </c>
      <c r="R107" t="s">
        <v>158</v>
      </c>
      <c r="S107" t="s">
        <v>184</v>
      </c>
    </row>
    <row r="109" spans="1:19" x14ac:dyDescent="0.25">
      <c r="A109" s="1" t="s">
        <v>185</v>
      </c>
      <c r="B109">
        <v>0</v>
      </c>
      <c r="D109">
        <v>1</v>
      </c>
      <c r="G109">
        <v>185</v>
      </c>
      <c r="J109">
        <v>40</v>
      </c>
      <c r="K109">
        <v>3</v>
      </c>
      <c r="R109" t="s">
        <v>158</v>
      </c>
    </row>
    <row r="110" spans="1:19" x14ac:dyDescent="0.25">
      <c r="A110" t="s">
        <v>149</v>
      </c>
      <c r="B110">
        <v>0</v>
      </c>
      <c r="D110">
        <f>1/3</f>
        <v>0.33333333333333331</v>
      </c>
      <c r="G110">
        <v>105</v>
      </c>
      <c r="I110">
        <v>3</v>
      </c>
      <c r="R110" t="s">
        <v>158</v>
      </c>
      <c r="S110" t="s">
        <v>186</v>
      </c>
    </row>
    <row r="111" spans="1:19" x14ac:dyDescent="0.25">
      <c r="A111" t="s">
        <v>187</v>
      </c>
      <c r="B111">
        <v>0</v>
      </c>
      <c r="D111">
        <v>1</v>
      </c>
      <c r="G111">
        <v>185</v>
      </c>
      <c r="J111">
        <v>40</v>
      </c>
      <c r="K111">
        <v>3</v>
      </c>
      <c r="R111" t="s">
        <v>158</v>
      </c>
      <c r="S111" t="s">
        <v>188</v>
      </c>
    </row>
    <row r="112" spans="1:19" x14ac:dyDescent="0.25">
      <c r="A112" t="s">
        <v>189</v>
      </c>
      <c r="B112">
        <v>0</v>
      </c>
      <c r="D112">
        <v>1</v>
      </c>
      <c r="G112">
        <v>185</v>
      </c>
      <c r="J112">
        <v>40</v>
      </c>
      <c r="K112">
        <v>3</v>
      </c>
      <c r="R112" t="s">
        <v>158</v>
      </c>
      <c r="S112" t="s">
        <v>514</v>
      </c>
    </row>
    <row r="113" spans="1:19" x14ac:dyDescent="0.25">
      <c r="A113" t="s">
        <v>190</v>
      </c>
      <c r="B113">
        <v>0</v>
      </c>
      <c r="D113">
        <v>1</v>
      </c>
      <c r="J113">
        <v>425</v>
      </c>
      <c r="K113">
        <v>4</v>
      </c>
      <c r="R113" t="s">
        <v>162</v>
      </c>
    </row>
    <row r="114" spans="1:19" x14ac:dyDescent="0.25">
      <c r="A114" t="s">
        <v>191</v>
      </c>
      <c r="B114">
        <v>0</v>
      </c>
      <c r="D114">
        <v>1</v>
      </c>
      <c r="G114">
        <v>155</v>
      </c>
      <c r="J114">
        <v>40</v>
      </c>
      <c r="K114">
        <v>3</v>
      </c>
      <c r="R114" t="s">
        <v>158</v>
      </c>
      <c r="S114" t="s">
        <v>515</v>
      </c>
    </row>
    <row r="116" spans="1:19" x14ac:dyDescent="0.25">
      <c r="A116" s="1" t="s">
        <v>278</v>
      </c>
      <c r="B116">
        <v>0</v>
      </c>
      <c r="G116">
        <v>185</v>
      </c>
      <c r="R116" t="s">
        <v>279</v>
      </c>
      <c r="S116" t="s">
        <v>280</v>
      </c>
    </row>
    <row r="117" spans="1:19" x14ac:dyDescent="0.25">
      <c r="A117" t="s">
        <v>281</v>
      </c>
      <c r="B117">
        <v>0</v>
      </c>
      <c r="G117">
        <v>185</v>
      </c>
      <c r="R117" t="s">
        <v>279</v>
      </c>
      <c r="S117" t="s">
        <v>286</v>
      </c>
    </row>
    <row r="118" spans="1:19" x14ac:dyDescent="0.25">
      <c r="A118" t="s">
        <v>282</v>
      </c>
      <c r="B118">
        <v>0</v>
      </c>
      <c r="G118">
        <v>185</v>
      </c>
      <c r="R118" t="s">
        <v>279</v>
      </c>
      <c r="S118" t="s">
        <v>287</v>
      </c>
    </row>
    <row r="119" spans="1:19" x14ac:dyDescent="0.25">
      <c r="A119" t="s">
        <v>283</v>
      </c>
      <c r="B119">
        <v>0</v>
      </c>
      <c r="G119">
        <v>185</v>
      </c>
      <c r="R119" t="s">
        <v>279</v>
      </c>
      <c r="S119" t="s">
        <v>288</v>
      </c>
    </row>
    <row r="120" spans="1:19" x14ac:dyDescent="0.25">
      <c r="A120" t="s">
        <v>284</v>
      </c>
      <c r="B120">
        <v>0</v>
      </c>
      <c r="G120">
        <v>185</v>
      </c>
      <c r="R120" t="s">
        <v>279</v>
      </c>
      <c r="S120" t="s">
        <v>289</v>
      </c>
    </row>
    <row r="121" spans="1:19" x14ac:dyDescent="0.25">
      <c r="A121" t="s">
        <v>285</v>
      </c>
      <c r="B121">
        <v>0</v>
      </c>
      <c r="G121">
        <v>185</v>
      </c>
      <c r="O121">
        <v>20</v>
      </c>
      <c r="R121" t="s">
        <v>279</v>
      </c>
      <c r="S121" t="s">
        <v>290</v>
      </c>
    </row>
    <row r="122" spans="1:19" s="9" customFormat="1" x14ac:dyDescent="0.25"/>
    <row r="123" spans="1:19" s="9" customFormat="1" x14ac:dyDescent="0.25">
      <c r="A123" s="1" t="s">
        <v>309</v>
      </c>
      <c r="B123" s="9">
        <v>100</v>
      </c>
      <c r="D123" s="9">
        <f>1/4</f>
        <v>0.25</v>
      </c>
      <c r="G123" s="9">
        <f>425</f>
        <v>425</v>
      </c>
      <c r="R123" s="9" t="s">
        <v>214</v>
      </c>
      <c r="S123" s="9" t="s">
        <v>310</v>
      </c>
    </row>
    <row r="124" spans="1:19" s="9" customFormat="1" x14ac:dyDescent="0.25">
      <c r="A124" s="9" t="s">
        <v>311</v>
      </c>
      <c r="B124" s="9">
        <v>100</v>
      </c>
      <c r="D124" s="43">
        <f t="shared" ref="D124" si="3">1/4</f>
        <v>0.25</v>
      </c>
      <c r="G124" s="43">
        <f>425</f>
        <v>425</v>
      </c>
      <c r="R124" s="9" t="s">
        <v>214</v>
      </c>
      <c r="S124" s="9" t="s">
        <v>316</v>
      </c>
    </row>
    <row r="125" spans="1:19" s="9" customFormat="1" x14ac:dyDescent="0.25">
      <c r="A125" s="9" t="s">
        <v>312</v>
      </c>
      <c r="B125" s="9">
        <v>100</v>
      </c>
      <c r="D125" s="43">
        <f>1/6</f>
        <v>0.16666666666666666</v>
      </c>
      <c r="G125" s="43">
        <f>425</f>
        <v>425</v>
      </c>
      <c r="H125" s="9">
        <v>65</v>
      </c>
      <c r="R125" s="9" t="s">
        <v>214</v>
      </c>
      <c r="S125" s="9" t="s">
        <v>317</v>
      </c>
    </row>
    <row r="126" spans="1:19" s="9" customFormat="1" x14ac:dyDescent="0.25">
      <c r="A126" s="9" t="s">
        <v>313</v>
      </c>
      <c r="B126" s="9">
        <v>100</v>
      </c>
      <c r="D126" s="9">
        <f>1/4</f>
        <v>0.25</v>
      </c>
      <c r="J126" s="9">
        <v>675</v>
      </c>
      <c r="K126" s="9">
        <v>5</v>
      </c>
      <c r="L126" s="9">
        <v>2</v>
      </c>
      <c r="R126" s="9" t="s">
        <v>214</v>
      </c>
      <c r="S126" s="9" t="s">
        <v>318</v>
      </c>
    </row>
    <row r="127" spans="1:19" s="9" customFormat="1" x14ac:dyDescent="0.25">
      <c r="A127" s="9" t="s">
        <v>314</v>
      </c>
      <c r="B127" s="9">
        <v>100</v>
      </c>
      <c r="D127" s="9">
        <f>1/4</f>
        <v>0.25</v>
      </c>
      <c r="G127" s="9">
        <f>425</f>
        <v>425</v>
      </c>
      <c r="R127" s="9" t="s">
        <v>214</v>
      </c>
      <c r="S127" s="9" t="s">
        <v>319</v>
      </c>
    </row>
    <row r="128" spans="1:19" s="9" customFormat="1" x14ac:dyDescent="0.25">
      <c r="A128" s="9" t="s">
        <v>315</v>
      </c>
      <c r="B128" s="9">
        <v>100</v>
      </c>
      <c r="D128" s="9">
        <v>0.03</v>
      </c>
      <c r="J128" s="9">
        <v>2900</v>
      </c>
      <c r="K128" s="9">
        <v>20</v>
      </c>
      <c r="L128" s="9">
        <v>2</v>
      </c>
      <c r="R128" s="9" t="s">
        <v>214</v>
      </c>
      <c r="S128" s="9" t="s">
        <v>320</v>
      </c>
    </row>
    <row r="130" spans="1:19" x14ac:dyDescent="0.25">
      <c r="A130" s="1" t="s">
        <v>247</v>
      </c>
      <c r="B130">
        <v>0</v>
      </c>
      <c r="F130">
        <v>12</v>
      </c>
      <c r="S130" t="s">
        <v>248</v>
      </c>
    </row>
    <row r="131" spans="1:19" x14ac:dyDescent="0.25">
      <c r="A131" t="s">
        <v>252</v>
      </c>
      <c r="B131">
        <v>0</v>
      </c>
      <c r="F131" s="233">
        <v>12</v>
      </c>
      <c r="S131" t="s">
        <v>249</v>
      </c>
    </row>
    <row r="132" spans="1:19" x14ac:dyDescent="0.25">
      <c r="A132" t="s">
        <v>253</v>
      </c>
      <c r="B132">
        <v>0</v>
      </c>
      <c r="F132" s="233">
        <v>12</v>
      </c>
      <c r="S132" t="s">
        <v>250</v>
      </c>
    </row>
    <row r="133" spans="1:19" x14ac:dyDescent="0.25">
      <c r="A133" t="s">
        <v>254</v>
      </c>
      <c r="B133">
        <v>0</v>
      </c>
      <c r="D133">
        <f>1/3</f>
        <v>0.33333333333333331</v>
      </c>
      <c r="F133" s="233">
        <v>12</v>
      </c>
      <c r="G133">
        <v>750</v>
      </c>
      <c r="R133" t="s">
        <v>162</v>
      </c>
      <c r="S133" t="s">
        <v>251</v>
      </c>
    </row>
    <row r="134" spans="1:19" x14ac:dyDescent="0.25">
      <c r="A134" t="s">
        <v>255</v>
      </c>
      <c r="B134">
        <v>0</v>
      </c>
      <c r="D134">
        <f>1/5</f>
        <v>0.2</v>
      </c>
      <c r="F134" s="233">
        <v>12</v>
      </c>
      <c r="J134">
        <v>225</v>
      </c>
      <c r="K134">
        <v>2</v>
      </c>
      <c r="R134" t="s">
        <v>155</v>
      </c>
      <c r="S134" t="s">
        <v>257</v>
      </c>
    </row>
    <row r="135" spans="1:19" x14ac:dyDescent="0.25">
      <c r="A135" t="s">
        <v>256</v>
      </c>
      <c r="B135">
        <v>0</v>
      </c>
      <c r="F135" s="233">
        <v>12</v>
      </c>
      <c r="S135" t="s">
        <v>258</v>
      </c>
    </row>
    <row r="137" spans="1:19" x14ac:dyDescent="0.25">
      <c r="A137" s="1" t="s">
        <v>269</v>
      </c>
      <c r="B137">
        <v>0</v>
      </c>
      <c r="F137">
        <v>15</v>
      </c>
      <c r="S137" t="s">
        <v>573</v>
      </c>
    </row>
    <row r="138" spans="1:19" x14ac:dyDescent="0.25">
      <c r="A138" t="s">
        <v>270</v>
      </c>
      <c r="B138">
        <v>0</v>
      </c>
      <c r="F138">
        <v>15</v>
      </c>
      <c r="S138" t="s">
        <v>275</v>
      </c>
    </row>
    <row r="139" spans="1:19" x14ac:dyDescent="0.25">
      <c r="A139" t="s">
        <v>271</v>
      </c>
      <c r="B139">
        <v>0</v>
      </c>
      <c r="F139">
        <v>15</v>
      </c>
      <c r="S139" t="s">
        <v>276</v>
      </c>
    </row>
    <row r="140" spans="1:19" x14ac:dyDescent="0.25">
      <c r="A140" t="s">
        <v>272</v>
      </c>
      <c r="B140">
        <v>0</v>
      </c>
      <c r="F140">
        <v>15</v>
      </c>
      <c r="S140" t="s">
        <v>574</v>
      </c>
    </row>
    <row r="141" spans="1:19" x14ac:dyDescent="0.25">
      <c r="A141" t="s">
        <v>273</v>
      </c>
      <c r="B141">
        <v>0</v>
      </c>
      <c r="F141">
        <v>15</v>
      </c>
      <c r="S141" t="s">
        <v>277</v>
      </c>
    </row>
    <row r="142" spans="1:19" x14ac:dyDescent="0.25">
      <c r="A142" t="s">
        <v>274</v>
      </c>
      <c r="B142">
        <v>0</v>
      </c>
      <c r="D142">
        <f>1/4</f>
        <v>0.25</v>
      </c>
      <c r="F142">
        <v>15</v>
      </c>
      <c r="G142">
        <v>630</v>
      </c>
      <c r="R142" t="s">
        <v>155</v>
      </c>
    </row>
    <row r="144" spans="1:19" x14ac:dyDescent="0.25">
      <c r="A144" s="1" t="s">
        <v>231</v>
      </c>
      <c r="B144">
        <v>0</v>
      </c>
      <c r="D144">
        <v>0</v>
      </c>
      <c r="F144">
        <v>45</v>
      </c>
      <c r="G144">
        <v>30</v>
      </c>
      <c r="R144" t="s">
        <v>155</v>
      </c>
    </row>
    <row r="145" spans="1:19" x14ac:dyDescent="0.25">
      <c r="A145" t="s">
        <v>232</v>
      </c>
      <c r="B145" s="9">
        <v>0</v>
      </c>
      <c r="C145" s="9"/>
      <c r="D145" s="9">
        <v>0</v>
      </c>
      <c r="F145" s="74">
        <v>45</v>
      </c>
      <c r="H145">
        <v>30</v>
      </c>
      <c r="R145" t="s">
        <v>158</v>
      </c>
    </row>
    <row r="146" spans="1:19" x14ac:dyDescent="0.25">
      <c r="A146" t="s">
        <v>579</v>
      </c>
      <c r="B146" s="9">
        <v>0</v>
      </c>
      <c r="C146" s="9"/>
      <c r="D146" s="9">
        <v>0</v>
      </c>
      <c r="F146" s="74">
        <v>45</v>
      </c>
      <c r="P146">
        <v>15</v>
      </c>
      <c r="R146" t="s">
        <v>214</v>
      </c>
    </row>
    <row r="147" spans="1:19" x14ac:dyDescent="0.25">
      <c r="A147" t="s">
        <v>233</v>
      </c>
      <c r="B147" s="9">
        <v>0</v>
      </c>
      <c r="C147" s="9"/>
      <c r="D147" s="9">
        <v>0</v>
      </c>
      <c r="F147" s="74">
        <v>45</v>
      </c>
      <c r="R147" s="233" t="s">
        <v>155</v>
      </c>
    </row>
    <row r="148" spans="1:19" x14ac:dyDescent="0.25">
      <c r="A148" t="s">
        <v>234</v>
      </c>
      <c r="B148" s="9">
        <v>0</v>
      </c>
      <c r="C148" s="9"/>
      <c r="D148" s="9">
        <v>0</v>
      </c>
      <c r="F148" s="74">
        <v>45</v>
      </c>
      <c r="H148">
        <v>10</v>
      </c>
      <c r="R148" t="s">
        <v>162</v>
      </c>
    </row>
    <row r="149" spans="1:19" x14ac:dyDescent="0.25">
      <c r="A149" t="s">
        <v>235</v>
      </c>
      <c r="B149" s="9">
        <v>0</v>
      </c>
      <c r="C149" s="9"/>
      <c r="D149" s="9">
        <v>0</v>
      </c>
      <c r="F149" s="74">
        <v>45</v>
      </c>
      <c r="R149" s="233" t="s">
        <v>155</v>
      </c>
    </row>
    <row r="150" spans="1:19" s="9" customFormat="1" x14ac:dyDescent="0.25"/>
    <row r="151" spans="1:19" s="9" customFormat="1" x14ac:dyDescent="0.25">
      <c r="A151" s="1" t="s">
        <v>330</v>
      </c>
      <c r="B151" s="9">
        <v>0</v>
      </c>
      <c r="D151" s="9">
        <v>0.08</v>
      </c>
      <c r="F151" s="9">
        <v>8</v>
      </c>
      <c r="J151" s="9">
        <v>200</v>
      </c>
      <c r="K151" s="9">
        <v>4</v>
      </c>
      <c r="L151" s="9">
        <v>2</v>
      </c>
      <c r="R151" s="9" t="s">
        <v>155</v>
      </c>
      <c r="S151" s="9" t="s">
        <v>331</v>
      </c>
    </row>
    <row r="152" spans="1:19" s="9" customFormat="1" x14ac:dyDescent="0.25">
      <c r="A152" s="9" t="s">
        <v>332</v>
      </c>
      <c r="B152" s="9">
        <v>0</v>
      </c>
      <c r="D152" s="9">
        <v>7.0000000000000007E-2</v>
      </c>
      <c r="F152" s="9">
        <v>8</v>
      </c>
      <c r="J152" s="9">
        <v>200</v>
      </c>
      <c r="K152" s="9">
        <v>4</v>
      </c>
      <c r="L152" s="9">
        <v>2</v>
      </c>
      <c r="R152" s="9" t="s">
        <v>155</v>
      </c>
      <c r="S152" s="9" t="s">
        <v>337</v>
      </c>
    </row>
    <row r="153" spans="1:19" s="9" customFormat="1" x14ac:dyDescent="0.25">
      <c r="A153" s="9" t="s">
        <v>333</v>
      </c>
      <c r="B153" s="9">
        <v>0</v>
      </c>
      <c r="D153" s="9">
        <v>0.06</v>
      </c>
      <c r="F153" s="9">
        <v>8</v>
      </c>
      <c r="J153" s="9">
        <v>200</v>
      </c>
      <c r="K153" s="9">
        <v>4</v>
      </c>
      <c r="L153" s="9">
        <v>2</v>
      </c>
      <c r="R153" s="9" t="s">
        <v>214</v>
      </c>
      <c r="S153" s="9" t="s">
        <v>338</v>
      </c>
    </row>
    <row r="154" spans="1:19" s="9" customFormat="1" x14ac:dyDescent="0.25">
      <c r="A154" s="9" t="s">
        <v>334</v>
      </c>
      <c r="B154" s="9">
        <v>0</v>
      </c>
      <c r="D154" s="9">
        <v>0.05</v>
      </c>
      <c r="F154" s="9">
        <v>8</v>
      </c>
      <c r="G154" s="9">
        <v>25</v>
      </c>
      <c r="J154" s="9">
        <v>200</v>
      </c>
      <c r="K154" s="9">
        <v>4</v>
      </c>
      <c r="L154" s="9">
        <v>2</v>
      </c>
      <c r="R154" s="9" t="s">
        <v>155</v>
      </c>
      <c r="S154" s="9" t="s">
        <v>339</v>
      </c>
    </row>
    <row r="155" spans="1:19" s="9" customFormat="1" x14ac:dyDescent="0.25">
      <c r="A155" s="9" t="s">
        <v>335</v>
      </c>
      <c r="B155" s="9">
        <v>0</v>
      </c>
      <c r="D155" s="9">
        <v>0.03</v>
      </c>
      <c r="F155" s="9">
        <v>8</v>
      </c>
      <c r="J155" s="9">
        <v>200</v>
      </c>
      <c r="K155" s="9">
        <v>4</v>
      </c>
      <c r="L155" s="9">
        <v>2</v>
      </c>
      <c r="R155" s="9" t="s">
        <v>155</v>
      </c>
      <c r="S155" s="9" t="s">
        <v>340</v>
      </c>
    </row>
    <row r="156" spans="1:19" s="9" customFormat="1" x14ac:dyDescent="0.25">
      <c r="A156" s="9" t="s">
        <v>336</v>
      </c>
      <c r="B156" s="9">
        <v>0</v>
      </c>
      <c r="D156" s="9">
        <f>1/30</f>
        <v>3.3333333333333333E-2</v>
      </c>
      <c r="F156" s="9">
        <v>8</v>
      </c>
      <c r="J156" s="9">
        <v>200</v>
      </c>
      <c r="K156" s="9">
        <v>4</v>
      </c>
      <c r="L156" s="9">
        <v>2</v>
      </c>
      <c r="R156" s="9" t="s">
        <v>155</v>
      </c>
      <c r="S156" s="9" t="s">
        <v>341</v>
      </c>
    </row>
    <row r="158" spans="1:19" x14ac:dyDescent="0.25">
      <c r="A158" s="1" t="s">
        <v>300</v>
      </c>
      <c r="B158">
        <v>150</v>
      </c>
      <c r="D158">
        <f>1/2</f>
        <v>0.5</v>
      </c>
      <c r="G158">
        <v>560</v>
      </c>
      <c r="R158" t="s">
        <v>158</v>
      </c>
    </row>
    <row r="159" spans="1:19" x14ac:dyDescent="0.25">
      <c r="A159" t="s">
        <v>301</v>
      </c>
      <c r="B159" s="9">
        <v>150</v>
      </c>
      <c r="C159" s="9"/>
      <c r="D159" s="9">
        <f>1/2</f>
        <v>0.5</v>
      </c>
      <c r="E159" s="9"/>
      <c r="F159" s="9"/>
      <c r="G159" s="9">
        <v>800</v>
      </c>
      <c r="H159" s="9"/>
      <c r="I159" s="9"/>
      <c r="J159" s="9"/>
      <c r="K159" s="9"/>
      <c r="L159" s="9"/>
      <c r="M159" s="9"/>
      <c r="N159" s="9"/>
      <c r="O159" s="9"/>
      <c r="P159" s="9"/>
      <c r="Q159" s="9"/>
      <c r="R159" s="9" t="s">
        <v>158</v>
      </c>
    </row>
    <row r="160" spans="1:19" x14ac:dyDescent="0.25">
      <c r="A160" t="s">
        <v>302</v>
      </c>
      <c r="B160" s="9">
        <v>150</v>
      </c>
      <c r="C160" s="9"/>
      <c r="D160" s="9">
        <f>1/2</f>
        <v>0.5</v>
      </c>
      <c r="E160" s="9"/>
      <c r="F160" s="9"/>
      <c r="G160" s="9">
        <v>560</v>
      </c>
      <c r="H160" s="9"/>
      <c r="I160" s="9"/>
      <c r="J160" s="9"/>
      <c r="K160" s="9"/>
      <c r="L160" s="9"/>
      <c r="M160" s="9"/>
      <c r="N160" s="9"/>
      <c r="O160" s="9"/>
      <c r="P160" s="9"/>
      <c r="Q160" s="9"/>
      <c r="R160" s="9" t="s">
        <v>158</v>
      </c>
      <c r="S160" t="s">
        <v>306</v>
      </c>
    </row>
    <row r="161" spans="1:19" x14ac:dyDescent="0.25">
      <c r="A161" t="s">
        <v>303</v>
      </c>
      <c r="B161" s="9">
        <v>150</v>
      </c>
      <c r="C161" s="9"/>
      <c r="D161" s="9">
        <f>1/3</f>
        <v>0.33333333333333331</v>
      </c>
      <c r="E161" s="9"/>
      <c r="F161" s="9"/>
      <c r="G161" s="9">
        <v>196</v>
      </c>
      <c r="H161" s="9"/>
      <c r="I161" s="9"/>
      <c r="J161" s="9"/>
      <c r="K161" s="9"/>
      <c r="L161" s="9"/>
      <c r="M161" s="9"/>
      <c r="N161" s="9"/>
      <c r="O161" s="9"/>
      <c r="P161" s="9"/>
      <c r="Q161" s="9"/>
      <c r="R161" s="9" t="s">
        <v>214</v>
      </c>
    </row>
    <row r="162" spans="1:19" x14ac:dyDescent="0.25">
      <c r="A162" t="s">
        <v>304</v>
      </c>
      <c r="B162" s="9">
        <v>150</v>
      </c>
      <c r="C162" s="9"/>
      <c r="D162" s="9">
        <f>1/2</f>
        <v>0.5</v>
      </c>
      <c r="E162" s="9"/>
      <c r="F162" s="9"/>
      <c r="G162" s="9">
        <v>532</v>
      </c>
      <c r="H162" s="9"/>
      <c r="I162" s="9"/>
      <c r="J162" s="9"/>
      <c r="K162" s="9"/>
      <c r="L162" s="9"/>
      <c r="M162" s="9"/>
      <c r="N162" s="9"/>
      <c r="O162" s="9"/>
      <c r="P162" s="9"/>
      <c r="Q162" s="9"/>
      <c r="R162" s="9" t="s">
        <v>162</v>
      </c>
      <c r="S162" t="s">
        <v>307</v>
      </c>
    </row>
    <row r="163" spans="1:19" x14ac:dyDescent="0.25">
      <c r="A163" t="s">
        <v>305</v>
      </c>
      <c r="B163" s="9">
        <v>150</v>
      </c>
      <c r="C163" s="9"/>
      <c r="D163" s="9">
        <f>1/9</f>
        <v>0.1111111111111111</v>
      </c>
      <c r="E163" s="9"/>
      <c r="F163" s="9"/>
      <c r="G163" s="9">
        <v>392</v>
      </c>
      <c r="H163" s="9"/>
      <c r="I163" s="9"/>
      <c r="J163" s="9"/>
      <c r="K163" s="9"/>
      <c r="L163" s="9"/>
      <c r="M163" s="9"/>
      <c r="N163" s="9"/>
      <c r="O163" s="9"/>
      <c r="P163" s="9"/>
      <c r="Q163" s="9"/>
      <c r="R163" s="9" t="s">
        <v>158</v>
      </c>
      <c r="S163" t="s">
        <v>308</v>
      </c>
    </row>
    <row r="165" spans="1:19" x14ac:dyDescent="0.25">
      <c r="A165" s="45" t="s">
        <v>398</v>
      </c>
    </row>
    <row r="166" spans="1:19" x14ac:dyDescent="0.25">
      <c r="A166" t="s">
        <v>399</v>
      </c>
      <c r="S166" t="s">
        <v>416</v>
      </c>
    </row>
    <row r="167" spans="1:19" x14ac:dyDescent="0.25">
      <c r="A167" t="s">
        <v>400</v>
      </c>
      <c r="S167" t="s">
        <v>417</v>
      </c>
    </row>
    <row r="168" spans="1:19" x14ac:dyDescent="0.25">
      <c r="A168" t="s">
        <v>401</v>
      </c>
      <c r="S168" t="s">
        <v>418</v>
      </c>
    </row>
    <row r="169" spans="1:19" x14ac:dyDescent="0.25">
      <c r="A169" t="s">
        <v>402</v>
      </c>
      <c r="S169" t="s">
        <v>419</v>
      </c>
    </row>
    <row r="170" spans="1:19" x14ac:dyDescent="0.25">
      <c r="A170" t="s">
        <v>403</v>
      </c>
      <c r="S170" t="s">
        <v>420</v>
      </c>
    </row>
    <row r="171" spans="1:19" x14ac:dyDescent="0.25">
      <c r="A171" t="s">
        <v>404</v>
      </c>
      <c r="S171" t="s">
        <v>421</v>
      </c>
    </row>
    <row r="172" spans="1:19" x14ac:dyDescent="0.25">
      <c r="A172" t="s">
        <v>405</v>
      </c>
      <c r="S172" t="s">
        <v>518</v>
      </c>
    </row>
    <row r="173" spans="1:19" x14ac:dyDescent="0.25">
      <c r="A173" t="s">
        <v>387</v>
      </c>
      <c r="O173">
        <v>20</v>
      </c>
      <c r="S173" t="s">
        <v>422</v>
      </c>
    </row>
    <row r="174" spans="1:19" x14ac:dyDescent="0.25">
      <c r="A174" t="s">
        <v>406</v>
      </c>
      <c r="G174">
        <v>180</v>
      </c>
      <c r="S174" t="s">
        <v>575</v>
      </c>
    </row>
    <row r="175" spans="1:19" x14ac:dyDescent="0.25">
      <c r="A175" t="s">
        <v>407</v>
      </c>
      <c r="S175" t="s">
        <v>423</v>
      </c>
    </row>
    <row r="176" spans="1:19" x14ac:dyDescent="0.25">
      <c r="A176" t="s">
        <v>408</v>
      </c>
      <c r="S176" t="s">
        <v>424</v>
      </c>
    </row>
    <row r="177" spans="1:19" x14ac:dyDescent="0.25">
      <c r="A177" t="s">
        <v>409</v>
      </c>
      <c r="S177" t="s">
        <v>425</v>
      </c>
    </row>
    <row r="178" spans="1:19" x14ac:dyDescent="0.25">
      <c r="A178" t="s">
        <v>410</v>
      </c>
      <c r="S178" t="s">
        <v>426</v>
      </c>
    </row>
    <row r="179" spans="1:19" x14ac:dyDescent="0.25">
      <c r="A179" t="s">
        <v>411</v>
      </c>
      <c r="S179" t="s">
        <v>427</v>
      </c>
    </row>
    <row r="180" spans="1:19" x14ac:dyDescent="0.25">
      <c r="A180" t="s">
        <v>412</v>
      </c>
      <c r="S180" t="s">
        <v>428</v>
      </c>
    </row>
    <row r="181" spans="1:19" x14ac:dyDescent="0.25">
      <c r="A181" t="s">
        <v>413</v>
      </c>
      <c r="S181" t="s">
        <v>429</v>
      </c>
    </row>
    <row r="182" spans="1:19" x14ac:dyDescent="0.25">
      <c r="A182" t="s">
        <v>414</v>
      </c>
      <c r="S182" t="s">
        <v>430</v>
      </c>
    </row>
    <row r="183" spans="1:19" x14ac:dyDescent="0.25">
      <c r="A183" t="s">
        <v>415</v>
      </c>
      <c r="O183">
        <v>50</v>
      </c>
      <c r="S183" t="s">
        <v>431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244</vt:i4>
      </vt:variant>
    </vt:vector>
  </HeadingPairs>
  <TitlesOfParts>
    <vt:vector size="252" baseType="lpstr">
      <vt:lpstr>Introduction</vt:lpstr>
      <vt:lpstr>Sheet Stats</vt:lpstr>
      <vt:lpstr>Reductions</vt:lpstr>
      <vt:lpstr>Mana-LoH</vt:lpstr>
      <vt:lpstr>Mit-Sustain</vt:lpstr>
      <vt:lpstr>eDPS</vt:lpstr>
      <vt:lpstr>Breakpoints</vt:lpstr>
      <vt:lpstr>Skill Info</vt:lpstr>
      <vt:lpstr>AddCC</vt:lpstr>
      <vt:lpstr>APS</vt:lpstr>
      <vt:lpstr>bBuffBastionsGenerator</vt:lpstr>
      <vt:lpstr>bBuffBastionsSpender</vt:lpstr>
      <vt:lpstr>bBuffBBVSlamDance</vt:lpstr>
      <vt:lpstr>bBuffCrusLoVCritical</vt:lpstr>
      <vt:lpstr>bBuffCrusResolved</vt:lpstr>
      <vt:lpstr>bBuffCrusSGDivine</vt:lpstr>
      <vt:lpstr>bBuffDHCompanionWolf</vt:lpstr>
      <vt:lpstr>bBuffDHMFD</vt:lpstr>
      <vt:lpstr>bBuffGemBoP</vt:lpstr>
      <vt:lpstr>bBuffGemBoT</vt:lpstr>
      <vt:lpstr>bBuffGemEnforcer</vt:lpstr>
      <vt:lpstr>bBuffGemTaeguk</vt:lpstr>
      <vt:lpstr>bBuffGemToxin</vt:lpstr>
      <vt:lpstr>bBuffGemZei</vt:lpstr>
      <vt:lpstr>bBuffHauntPoisoned</vt:lpstr>
      <vt:lpstr>bBuffIASBBV</vt:lpstr>
      <vt:lpstr>bBuffIASBBVGroup</vt:lpstr>
      <vt:lpstr>bBuffIASGemGogok</vt:lpstr>
      <vt:lpstr>bBuffIASGemPE</vt:lpstr>
      <vt:lpstr>bBuffJade2p</vt:lpstr>
      <vt:lpstr>bBuffMonkEPTFiW</vt:lpstr>
      <vt:lpstr>bBuffMonkISFB</vt:lpstr>
      <vt:lpstr>bBuffMonkMoC</vt:lpstr>
      <vt:lpstr>bBuffMonkMoCOverawe</vt:lpstr>
      <vt:lpstr>bBuffMonkMoRTransgression</vt:lpstr>
      <vt:lpstr>bBuffOtherAdd</vt:lpstr>
      <vt:lpstr>bBuffOtherAddGroup</vt:lpstr>
      <vt:lpstr>bBuffOtherAddNS</vt:lpstr>
      <vt:lpstr>bBuffOtherIAS</vt:lpstr>
      <vt:lpstr>bBuffOtherMulti</vt:lpstr>
      <vt:lpstr>bBuffOtherMultiGroup</vt:lpstr>
      <vt:lpstr>bBuffPiranhas</vt:lpstr>
      <vt:lpstr>bBuffPtV</vt:lpstr>
      <vt:lpstr>bBuffSacrificePtP</vt:lpstr>
      <vt:lpstr>bBuffStrongarms</vt:lpstr>
      <vt:lpstr>bBuffWizCB</vt:lpstr>
      <vt:lpstr>bBuffWizConflagration</vt:lpstr>
      <vt:lpstr>bBuffWizEE</vt:lpstr>
      <vt:lpstr>bBuffWizSTtimeWarp</vt:lpstr>
      <vt:lpstr>bBuffZDChilled</vt:lpstr>
      <vt:lpstr>bBuffZuni6p</vt:lpstr>
      <vt:lpstr>BonusCold</vt:lpstr>
      <vt:lpstr>BonusFire</vt:lpstr>
      <vt:lpstr>BonusPhyscial</vt:lpstr>
      <vt:lpstr>BonusPoison</vt:lpstr>
      <vt:lpstr>BuffAdd</vt:lpstr>
      <vt:lpstr>BuffBBVSlamDance</vt:lpstr>
      <vt:lpstr>BuffCC</vt:lpstr>
      <vt:lpstr>BuffE</vt:lpstr>
      <vt:lpstr>BuffGemBoP</vt:lpstr>
      <vt:lpstr>BuffGemBoT</vt:lpstr>
      <vt:lpstr>BuffGemEnforcer</vt:lpstr>
      <vt:lpstr>BuffGemTaeguk</vt:lpstr>
      <vt:lpstr>BuffGemToxin</vt:lpstr>
      <vt:lpstr>BuffGemZei</vt:lpstr>
      <vt:lpstr>BuffMidnightFeast</vt:lpstr>
      <vt:lpstr>BuffMulti</vt:lpstr>
      <vt:lpstr>BuffOtherAdd</vt:lpstr>
      <vt:lpstr>BuffOtherAddGroup</vt:lpstr>
      <vt:lpstr>BuffOtherAddNS</vt:lpstr>
      <vt:lpstr>BuffOtherMulti</vt:lpstr>
      <vt:lpstr>BuffOtherMultiGroup</vt:lpstr>
      <vt:lpstr>BuffPtV</vt:lpstr>
      <vt:lpstr>BuffSacrificePtP</vt:lpstr>
      <vt:lpstr>BuffStrongarms</vt:lpstr>
      <vt:lpstr>BuffTaskers</vt:lpstr>
      <vt:lpstr>CDGraspDead</vt:lpstr>
      <vt:lpstr>CDGraspDeadDesperate</vt:lpstr>
      <vt:lpstr>CDR</vt:lpstr>
      <vt:lpstr>CDRGI</vt:lpstr>
      <vt:lpstr>CDRORotZ</vt:lpstr>
      <vt:lpstr>CDSoulHarvest</vt:lpstr>
      <vt:lpstr>CDSW</vt:lpstr>
      <vt:lpstr>CDWoZ</vt:lpstr>
      <vt:lpstr>CDZDogs</vt:lpstr>
      <vt:lpstr>Cost2Firebats</vt:lpstr>
      <vt:lpstr>CostAcidCloud</vt:lpstr>
      <vt:lpstr>CostFirebats</vt:lpstr>
      <vt:lpstr>CostFirebatsVampire</vt:lpstr>
      <vt:lpstr>CostGraspDead</vt:lpstr>
      <vt:lpstr>CostHaunt</vt:lpstr>
      <vt:lpstr>CostLocustSwarm</vt:lpstr>
      <vt:lpstr>CostPiranhas</vt:lpstr>
      <vt:lpstr>CostSpiritBarrage</vt:lpstr>
      <vt:lpstr>CostZCharger</vt:lpstr>
      <vt:lpstr>CSAPS</vt:lpstr>
      <vt:lpstr>CSArmorBase</vt:lpstr>
      <vt:lpstr>CSArmorBonus</vt:lpstr>
      <vt:lpstr>CSArmorTotal</vt:lpstr>
      <vt:lpstr>CSBaseSpd</vt:lpstr>
      <vt:lpstr>CSCC</vt:lpstr>
      <vt:lpstr>CSCHD</vt:lpstr>
      <vt:lpstr>CSDEX</vt:lpstr>
      <vt:lpstr>CSDPS</vt:lpstr>
      <vt:lpstr>CSDR</vt:lpstr>
      <vt:lpstr>CSIAS</vt:lpstr>
      <vt:lpstr>CSINT</vt:lpstr>
      <vt:lpstr>CSResAll</vt:lpstr>
      <vt:lpstr>CSResAllBase</vt:lpstr>
      <vt:lpstr>CSSTR</vt:lpstr>
      <vt:lpstr>Dam2FirebombGhostBomb</vt:lpstr>
      <vt:lpstr>Dam2SpiritBarrageWellSouls</vt:lpstr>
      <vt:lpstr>Dam2ZDogsBurning</vt:lpstr>
      <vt:lpstr>Dam2ZDogsRabid</vt:lpstr>
      <vt:lpstr>DamAcidCloud</vt:lpstr>
      <vt:lpstr>DamAcidCloudCorpseBomb</vt:lpstr>
      <vt:lpstr>DamAcidCloudKoD</vt:lpstr>
      <vt:lpstr>DamCorpseSpiders</vt:lpstr>
      <vt:lpstr>DamCorpseSpidersBlazing</vt:lpstr>
      <vt:lpstr>DamCorpseSpidersLeaping</vt:lpstr>
      <vt:lpstr>DamFetishArmy</vt:lpstr>
      <vt:lpstr>DamFetishArmyHunters</vt:lpstr>
      <vt:lpstr>DamFetishArmyTorchers</vt:lpstr>
      <vt:lpstr>DamFetishSycophants</vt:lpstr>
      <vt:lpstr>DamFirebats</vt:lpstr>
      <vt:lpstr>DamFirebatsCoB</vt:lpstr>
      <vt:lpstr>DamFirebatsDire</vt:lpstr>
      <vt:lpstr>DamFirebatsHungry</vt:lpstr>
      <vt:lpstr>DamFirebatsVampire</vt:lpstr>
      <vt:lpstr>DamFirebomb</vt:lpstr>
      <vt:lpstr>DamGargantuan</vt:lpstr>
      <vt:lpstr>DamGargantuanBruiser</vt:lpstr>
      <vt:lpstr>DamGargantuanHumongoid</vt:lpstr>
      <vt:lpstr>DamGargantuanWrathful</vt:lpstr>
      <vt:lpstr>DamMH</vt:lpstr>
      <vt:lpstr>DamPlagueToads</vt:lpstr>
      <vt:lpstr>DamPlagueToadsExplosive</vt:lpstr>
      <vt:lpstr>DamPlagueToadsPiercing</vt:lpstr>
      <vt:lpstr>DamPoisonDart</vt:lpstr>
      <vt:lpstr>DamPoisonDartSplinters</vt:lpstr>
      <vt:lpstr>DamSacrifice</vt:lpstr>
      <vt:lpstr>DamSoulHarvestVengeful</vt:lpstr>
      <vt:lpstr>DamSpiritBarrage</vt:lpstr>
      <vt:lpstr>DamSplash</vt:lpstr>
      <vt:lpstr>DamSWUmbralShock</vt:lpstr>
      <vt:lpstr>DamWoZCreepers</vt:lpstr>
      <vt:lpstr>DamZCharger</vt:lpstr>
      <vt:lpstr>DamZChargerBears</vt:lpstr>
      <vt:lpstr>DamZChargerExplosiveBeast</vt:lpstr>
      <vt:lpstr>DamZChargerLumberingCold</vt:lpstr>
      <vt:lpstr>DamZChargerPileOn</vt:lpstr>
      <vt:lpstr>DamZDogs</vt:lpstr>
      <vt:lpstr>DebuffHauntPoisoned</vt:lpstr>
      <vt:lpstr>DebuffMCParanoia</vt:lpstr>
      <vt:lpstr>DebuffPiranhas</vt:lpstr>
      <vt:lpstr>DebuffZDChilled</vt:lpstr>
      <vt:lpstr>DoTAcidCloud</vt:lpstr>
      <vt:lpstr>DoTAcidCloudKoD</vt:lpstr>
      <vt:lpstr>DoTAcidCloudLBB</vt:lpstr>
      <vt:lpstr>DoTAcidCloudSlowBurn</vt:lpstr>
      <vt:lpstr>DoTCorpseSpidersQueen</vt:lpstr>
      <vt:lpstr>DoTDurAcidCloud</vt:lpstr>
      <vt:lpstr>DoTDurAcidCloudLBB</vt:lpstr>
      <vt:lpstr>DoTDurAcidCloudSlowBurn</vt:lpstr>
      <vt:lpstr>DoTDurCorpseSpidersQueen</vt:lpstr>
      <vt:lpstr>DoTDurFirebatsPlague</vt:lpstr>
      <vt:lpstr>DoTDurFirebombFirePit</vt:lpstr>
      <vt:lpstr>DoTDurFirebombPyrogeist</vt:lpstr>
      <vt:lpstr>DoTDurGraspDead</vt:lpstr>
      <vt:lpstr>DoTDurHaunt</vt:lpstr>
      <vt:lpstr>DoTDurLocustSwarm</vt:lpstr>
      <vt:lpstr>DoTDurLocustSwarmCloud</vt:lpstr>
      <vt:lpstr>DoTDurPlagueToadsRain</vt:lpstr>
      <vt:lpstr>DoTDurPoisonDart</vt:lpstr>
      <vt:lpstr>DoTDurPoisonDartFlaming</vt:lpstr>
      <vt:lpstr>DoTDurSpiritBarrageManitou</vt:lpstr>
      <vt:lpstr>DoTDurSpiritBarragePhantasm</vt:lpstr>
      <vt:lpstr>DoTDurWoZ</vt:lpstr>
      <vt:lpstr>DoTFirebatsPlague</vt:lpstr>
      <vt:lpstr>DoTFirebombFirePit</vt:lpstr>
      <vt:lpstr>DoTFirebombPyrogeist</vt:lpstr>
      <vt:lpstr>DoTGargantuanBigStinker</vt:lpstr>
      <vt:lpstr>DoTGraspDead</vt:lpstr>
      <vt:lpstr>DoTGraspDeadGropingEels</vt:lpstr>
      <vt:lpstr>DoTGraspDeadRainCorpses</vt:lpstr>
      <vt:lpstr>DoTHaunt</vt:lpstr>
      <vt:lpstr>DoTLocustSwarm</vt:lpstr>
      <vt:lpstr>DoTLocustSwarmCloud</vt:lpstr>
      <vt:lpstr>DoTLocustSwarmSearing</vt:lpstr>
      <vt:lpstr>DoTPlagueToadsRain</vt:lpstr>
      <vt:lpstr>DoTPoisonDart</vt:lpstr>
      <vt:lpstr>DoTPoisonDartFlaming</vt:lpstr>
      <vt:lpstr>DoTSpiritBarrageManitou</vt:lpstr>
      <vt:lpstr>DoTSpiritBarragePhantasm</vt:lpstr>
      <vt:lpstr>DoTWoZ</vt:lpstr>
      <vt:lpstr>ProcAcidCloud</vt:lpstr>
      <vt:lpstr>ProcAcidCloudAcidRain</vt:lpstr>
      <vt:lpstr>ProcAcidCloudCorpseBomb</vt:lpstr>
      <vt:lpstr>ProcCorpseSpiders</vt:lpstr>
      <vt:lpstr>ProcCorpseSpidersQueen</vt:lpstr>
      <vt:lpstr>ProcFirebats</vt:lpstr>
      <vt:lpstr>ProcFirebatsCoB</vt:lpstr>
      <vt:lpstr>ProcFirebatsDire</vt:lpstr>
      <vt:lpstr>ProcFirebatsHungry</vt:lpstr>
      <vt:lpstr>ProcFirebomb</vt:lpstr>
      <vt:lpstr>ProcFirebombFirePit</vt:lpstr>
      <vt:lpstr>ProcFirebombFlashFire</vt:lpstr>
      <vt:lpstr>ProcFirebombGhostBomb</vt:lpstr>
      <vt:lpstr>ProcFirebombPyrogeist</vt:lpstr>
      <vt:lpstr>ProcFirebombRollBones</vt:lpstr>
      <vt:lpstr>ProcGraspDead</vt:lpstr>
      <vt:lpstr>ProcGraspDeadRainCorpses</vt:lpstr>
      <vt:lpstr>ProcHaunt</vt:lpstr>
      <vt:lpstr>ProcHauntConsuming</vt:lpstr>
      <vt:lpstr>ProcLocustSwarm</vt:lpstr>
      <vt:lpstr>ProcPlagueToads</vt:lpstr>
      <vt:lpstr>ProcPlagueToadsPiercing</vt:lpstr>
      <vt:lpstr>ProcPlagueToadsRain</vt:lpstr>
      <vt:lpstr>ProcPoisonDart</vt:lpstr>
      <vt:lpstr>ProcPoisonDartFlaming</vt:lpstr>
      <vt:lpstr>ProcPoisonDartSplinters</vt:lpstr>
      <vt:lpstr>ProcSoulHarvestVengeful</vt:lpstr>
      <vt:lpstr>ProcSpiritBarrage</vt:lpstr>
      <vt:lpstr>ProcSpiritBarrageManitou</vt:lpstr>
      <vt:lpstr>ProcSpiritBarrageWellSouls</vt:lpstr>
      <vt:lpstr>ProcSWSeverance</vt:lpstr>
      <vt:lpstr>ProcSWUmbralShock</vt:lpstr>
      <vt:lpstr>ProcWoZ</vt:lpstr>
      <vt:lpstr>ProcWoZBarricade</vt:lpstr>
      <vt:lpstr>ProcWoZCreepers</vt:lpstr>
      <vt:lpstr>ProcWoZOffensiveLine</vt:lpstr>
      <vt:lpstr>ProcWoZUnrelenting</vt:lpstr>
      <vt:lpstr>ProcWoZWreckingCrew</vt:lpstr>
      <vt:lpstr>ProcZCharger</vt:lpstr>
      <vt:lpstr>ProcZChargerBears</vt:lpstr>
      <vt:lpstr>ProcZChargerLumberingCold</vt:lpstr>
      <vt:lpstr>RCRFire</vt:lpstr>
      <vt:lpstr>RedCDR</vt:lpstr>
      <vt:lpstr>RedRCR</vt:lpstr>
      <vt:lpstr>TCoefFirebats</vt:lpstr>
      <vt:lpstr>TRateAcidCloud</vt:lpstr>
      <vt:lpstr>TRateCorpseSpiders</vt:lpstr>
      <vt:lpstr>TRateCorpseSpidersQueen</vt:lpstr>
      <vt:lpstr>TRateFirebombFirePit</vt:lpstr>
      <vt:lpstr>TRateFirebombPyrogeist</vt:lpstr>
      <vt:lpstr>TRateGraspDead</vt:lpstr>
      <vt:lpstr>TRateHaunt</vt:lpstr>
      <vt:lpstr>TRateLocustSwarm</vt:lpstr>
      <vt:lpstr>TRatePlagueToadsRain</vt:lpstr>
      <vt:lpstr>TRateSpiritBarrageManitou</vt:lpstr>
      <vt:lpstr>TRateSpiritBarragePhantasm</vt:lpstr>
      <vt:lpstr>TRateWoZ</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Drew Olynick</dc:creator>
  <cp:lastModifiedBy>Drew Olynick</cp:lastModifiedBy>
  <dcterms:created xsi:type="dcterms:W3CDTF">2014-02-18T22:18:03Z</dcterms:created>
  <dcterms:modified xsi:type="dcterms:W3CDTF">2015-04-30T16:04:42Z</dcterms:modified>
</cp:coreProperties>
</file>